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b\Downloads\"/>
    </mc:Choice>
  </mc:AlternateContent>
  <xr:revisionPtr revIDLastSave="0" documentId="8_{119EFF5C-4385-47D5-9DA0-81B5042B1D8D}" xr6:coauthVersionLast="45" xr6:coauthVersionMax="45" xr10:uidLastSave="{00000000-0000-0000-0000-000000000000}"/>
  <bookViews>
    <workbookView xWindow="6285" yWindow="4590" windowWidth="21600" windowHeight="16485" xr2:uid="{00000000-000D-0000-FFFF-FFFF00000000}"/>
  </bookViews>
  <sheets>
    <sheet name="Combined Cash Flow" sheetId="14" r:id="rId1"/>
    <sheet name="CC - Cash Flow Projections" sheetId="1" r:id="rId2"/>
    <sheet name="CC -Reno " sheetId="4" r:id="rId3"/>
    <sheet name="CC -Loan" sheetId="2" state="hidden" r:id="rId4"/>
    <sheet name="B - Cash Flow Projections" sheetId="11" r:id="rId5"/>
    <sheet name="B - Reno " sheetId="10" r:id="rId6"/>
    <sheet name="R -Loan (2)" sheetId="13" state="hidden" r:id="rId7"/>
    <sheet name="Payroll" sheetId="18" r:id="rId8"/>
    <sheet name="Rent Matrix" sheetId="15" r:id="rId9"/>
    <sheet name="Sheet1" sheetId="9" state="hidden" r:id="rId10"/>
  </sheets>
  <externalReferences>
    <externalReference r:id="rId11"/>
  </externalReferences>
  <definedNames>
    <definedName name="Annual_interest_rate" localSheetId="6">'R -Loan (2)'!$C$8</definedName>
    <definedName name="Annual_interest_rate">'CC -Loan'!$C$8</definedName>
    <definedName name="Beg.Bal" localSheetId="6">IF('R -Loan (2)'!XFC1&lt;&gt;"",'R -Loan (2)'!D1048576,"")</definedName>
    <definedName name="Beg.Bal">IF('CC -Loan'!XFC1&lt;&gt;"",'CC -Loan'!D1048576,"")</definedName>
    <definedName name="BUDGETYEAR">'[1]Property Info'!$I$32</definedName>
    <definedName name="Calculated_payment" localSheetId="6">'R -Loan (2)'!$C$14</definedName>
    <definedName name="Calculated_payment">'CC -Loan'!$C$14</definedName>
    <definedName name="Cum.Interest" localSheetId="6">IF('R -Loan (2)'!XEY1&lt;&gt;"",'R -Loan (2)'!A1048576+'R -Loan (2)'!XFB1,"")</definedName>
    <definedName name="Cum.Interest">IF('CC -Loan'!XEY1&lt;&gt;"",'CC -Loan'!A1048576+'CC -Loan'!XFB1,"")</definedName>
    <definedName name="Ending.Balance" localSheetId="6">IF('R -Loan (2)'!XEZ1&lt;&gt;"",'R -Loan (2)'!XFB1-'R -Loan (2)'!XFD1,"")</definedName>
    <definedName name="Ending.Balance">IF('CC -Loan'!XEZ1&lt;&gt;"",'CC -Loan'!XFB1-'CC -Loan'!XFD1,"")</definedName>
    <definedName name="Entered_payment" localSheetId="6">'R -Loan (2)'!$C$13</definedName>
    <definedName name="Entered_payment">'CC -Loan'!$C$13</definedName>
    <definedName name="First_payment_due" localSheetId="6">'R -Loan (2)'!$C$11</definedName>
    <definedName name="First_payment_due">'CC -Loan'!$C$11</definedName>
    <definedName name="First_payment_no" localSheetId="6">'R -Loan (2)'!$C$17</definedName>
    <definedName name="First_payment_no">'CC -Loan'!$C$17</definedName>
    <definedName name="Interest" localSheetId="6">IF('R -Loan (2)'!XFB1&lt;&gt;"",'R -Loan (2)'!XFD1*'R -Loan (2)'!Periodic_rate,"")</definedName>
    <definedName name="Interest">IF('CC -Loan'!XFB1&lt;&gt;"",'CC -Loan'!XFD1*Periodic_rate,"")</definedName>
    <definedName name="Loan_amount" localSheetId="6">'R -Loan (2)'!$C$7</definedName>
    <definedName name="Loan_amount">'CC -Loan'!$C$7</definedName>
    <definedName name="payment.Num" localSheetId="6">IF(OR('R -Loan (2)'!A1048576="",'R -Loan (2)'!A1048576='R -Loan (2)'!Total_payments),"",'R -Loan (2)'!A1048576+1)</definedName>
    <definedName name="payment.Num">IF(OR('CC -Loan'!A1048576="",'CC -Loan'!A1048576=Total_payments),"",'CC -Loan'!A1048576+1)</definedName>
    <definedName name="Payments_per_year" localSheetId="6">'R -Loan (2)'!$C$10</definedName>
    <definedName name="Payments_per_year">'CC -Loan'!$C$10</definedName>
    <definedName name="Periodic_rate" localSheetId="6">'R -Loan (2)'!Annual_interest_rate/'R -Loan (2)'!Payments_per_year</definedName>
    <definedName name="Periodic_rate">Annual_interest_rate/Payments_per_year</definedName>
    <definedName name="Pmt_to_use" localSheetId="6">'R -Loan (2)'!$C$16</definedName>
    <definedName name="Pmt_to_use">'CC -Loan'!$C$16</definedName>
    <definedName name="Principal" localSheetId="6">IF('R -Loan (2)'!XFA1&lt;&gt;"",MIN('R -Loan (2)'!XFC1,'R -Loan (2)'!Pmt_to_use-'R -Loan (2)'!XFD1),"")</definedName>
    <definedName name="Principal">IF('CC -Loan'!XFA1&lt;&gt;"",MIN('CC -Loan'!XFC1,Pmt_to_use-'CC -Loan'!XFD1),"")</definedName>
    <definedName name="Show.Date" localSheetId="6">IF('R -Loan (2)'!XFD1&lt;&gt;"",DATE(YEAR('R -Loan (2)'!First_payment_due),MONTH('R -Loan (2)'!First_payment_due)+('R -Loan (2)'!XFD1-1)*12/'R -Loan (2)'!Payments_per_year,DAY('R -Loan (2)'!First_payment_due)),"")</definedName>
    <definedName name="Show.Date">IF('CC -Loan'!XFD1&lt;&gt;"",DATE(YEAR(First_payment_due),MONTH(First_payment_due)+('CC -Loan'!XFD1-1)*12/Payments_per_year,DAY(First_payment_due)),"")</definedName>
    <definedName name="Table_beg_bal" localSheetId="6">'R -Loan (2)'!$G$16</definedName>
    <definedName name="Table_beg_bal">'CC -Loan'!$G$16</definedName>
    <definedName name="Table_prior_interest" localSheetId="6">'R -Loan (2)'!$G$17</definedName>
    <definedName name="Table_prior_interest">'CC -Loan'!$G$17</definedName>
    <definedName name="Term_in_years" localSheetId="6">'R -Loan (2)'!$C$9</definedName>
    <definedName name="Term_in_years">'CC -Loan'!$C$9</definedName>
    <definedName name="Total_payments" localSheetId="6">'R -Loan (2)'!Payments_per_year*'R -Loan (2)'!Term_in_years</definedName>
    <definedName name="Total_payments">Payments_per_year*Term_in_years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F51" i="1"/>
  <c r="G28" i="14"/>
  <c r="G29" i="14" s="1"/>
  <c r="G33" i="11" l="1"/>
  <c r="G33" i="1"/>
  <c r="G35" i="1"/>
  <c r="G35" i="11"/>
  <c r="F18" i="11" l="1"/>
  <c r="F13" i="11"/>
  <c r="F18" i="1"/>
  <c r="F13" i="1"/>
  <c r="C35" i="18" l="1"/>
  <c r="C36" i="18" l="1"/>
  <c r="C38" i="18" s="1"/>
  <c r="C39" i="18" s="1"/>
  <c r="F22" i="1" l="1"/>
  <c r="G22" i="1" s="1"/>
  <c r="F22" i="11"/>
  <c r="G22" i="11" s="1"/>
  <c r="G12" i="1" l="1"/>
  <c r="G16" i="1" s="1"/>
  <c r="C15" i="11" l="1"/>
  <c r="C15" i="1"/>
  <c r="C8" i="13" l="1"/>
  <c r="C9" i="13"/>
  <c r="C26" i="11"/>
  <c r="C29" i="11" s="1"/>
  <c r="B2" i="10"/>
  <c r="B6" i="10"/>
  <c r="C6" i="10" s="1"/>
  <c r="D6" i="10" s="1"/>
  <c r="E6" i="10" s="1"/>
  <c r="F6" i="10" s="1"/>
  <c r="G19" i="11"/>
  <c r="B18" i="10"/>
  <c r="B22" i="10"/>
  <c r="C22" i="10" s="1"/>
  <c r="D22" i="10" s="1"/>
  <c r="E22" i="10" s="1"/>
  <c r="F22" i="10" s="1"/>
  <c r="G22" i="10" s="1"/>
  <c r="H22" i="10" s="1"/>
  <c r="I22" i="10" s="1"/>
  <c r="J22" i="10" s="1"/>
  <c r="K22" i="10" s="1"/>
  <c r="L22" i="10" s="1"/>
  <c r="M22" i="10" s="1"/>
  <c r="B27" i="10" s="1"/>
  <c r="C27" i="10" s="1"/>
  <c r="D27" i="10" s="1"/>
  <c r="E27" i="10" s="1"/>
  <c r="F27" i="10" s="1"/>
  <c r="G27" i="10" s="1"/>
  <c r="H27" i="10" s="1"/>
  <c r="I27" i="10" s="1"/>
  <c r="J27" i="10" s="1"/>
  <c r="K27" i="10" s="1"/>
  <c r="L27" i="10" s="1"/>
  <c r="M27" i="10" s="1"/>
  <c r="G19" i="1"/>
  <c r="B19" i="4"/>
  <c r="B23" i="4"/>
  <c r="C23" i="4" s="1"/>
  <c r="D23" i="4" s="1"/>
  <c r="E23" i="4" s="1"/>
  <c r="F23" i="4" s="1"/>
  <c r="G23" i="4" s="1"/>
  <c r="H23" i="4" s="1"/>
  <c r="I23" i="4" s="1"/>
  <c r="J23" i="4" s="1"/>
  <c r="K23" i="4" s="1"/>
  <c r="L23" i="4" s="1"/>
  <c r="M23" i="4" s="1"/>
  <c r="B28" i="4" s="1"/>
  <c r="C21" i="11" l="1"/>
  <c r="G42" i="11"/>
  <c r="B29" i="4"/>
  <c r="F7" i="10"/>
  <c r="G6" i="10"/>
  <c r="B7" i="10"/>
  <c r="C7" i="10"/>
  <c r="D7" i="10"/>
  <c r="E7" i="10"/>
  <c r="K28" i="10"/>
  <c r="E28" i="10"/>
  <c r="H28" i="10"/>
  <c r="M23" i="10"/>
  <c r="L28" i="10"/>
  <c r="F28" i="10"/>
  <c r="G28" i="10"/>
  <c r="I23" i="10"/>
  <c r="J23" i="10"/>
  <c r="I28" i="10"/>
  <c r="C23" i="10"/>
  <c r="K23" i="10"/>
  <c r="B28" i="10"/>
  <c r="J28" i="10"/>
  <c r="E23" i="10"/>
  <c r="D28" i="10"/>
  <c r="F23" i="10"/>
  <c r="M28" i="10"/>
  <c r="G23" i="10"/>
  <c r="H23" i="10"/>
  <c r="B23" i="10"/>
  <c r="D23" i="10"/>
  <c r="L23" i="10"/>
  <c r="C28" i="10"/>
  <c r="C28" i="4"/>
  <c r="F24" i="4"/>
  <c r="B24" i="4"/>
  <c r="G24" i="4"/>
  <c r="H24" i="4"/>
  <c r="D24" i="4"/>
  <c r="I24" i="4"/>
  <c r="J24" i="4"/>
  <c r="C24" i="4"/>
  <c r="K24" i="4"/>
  <c r="L24" i="4"/>
  <c r="E24" i="4"/>
  <c r="M24" i="4"/>
  <c r="I18" i="11" l="1"/>
  <c r="J18" i="11" s="1"/>
  <c r="K18" i="11" s="1"/>
  <c r="L18" i="11" s="1"/>
  <c r="M18" i="11" s="1"/>
  <c r="N18" i="11" s="1"/>
  <c r="O18" i="11" s="1"/>
  <c r="P18" i="11" s="1"/>
  <c r="R18" i="11"/>
  <c r="G47" i="11"/>
  <c r="C45" i="11"/>
  <c r="G7" i="10"/>
  <c r="H6" i="10"/>
  <c r="M29" i="10"/>
  <c r="H18" i="11" s="1"/>
  <c r="M24" i="10"/>
  <c r="G18" i="11" s="1"/>
  <c r="D28" i="4"/>
  <c r="C29" i="4"/>
  <c r="M25" i="4"/>
  <c r="G18" i="1" s="1"/>
  <c r="C27" i="1" l="1"/>
  <c r="I6" i="10"/>
  <c r="H7" i="10"/>
  <c r="E28" i="4"/>
  <c r="D29" i="4"/>
  <c r="C30" i="1" l="1"/>
  <c r="C21" i="1" s="1"/>
  <c r="D18" i="14"/>
  <c r="D27" i="14" s="1"/>
  <c r="G42" i="1"/>
  <c r="H17" i="14" s="1"/>
  <c r="J6" i="10"/>
  <c r="I7" i="10"/>
  <c r="F28" i="4"/>
  <c r="E29" i="4"/>
  <c r="L5" i="15"/>
  <c r="L6" i="15"/>
  <c r="L7" i="15"/>
  <c r="L8" i="15"/>
  <c r="L9" i="15"/>
  <c r="L10" i="15"/>
  <c r="L11" i="15"/>
  <c r="L12" i="15"/>
  <c r="L13" i="15"/>
  <c r="L4" i="15"/>
  <c r="F5" i="15"/>
  <c r="F6" i="15"/>
  <c r="F7" i="15"/>
  <c r="F8" i="15"/>
  <c r="F9" i="15"/>
  <c r="F10" i="15"/>
  <c r="F11" i="15"/>
  <c r="F12" i="15"/>
  <c r="F13" i="15"/>
  <c r="F14" i="15"/>
  <c r="F15" i="15"/>
  <c r="F4" i="15"/>
  <c r="I17" i="15"/>
  <c r="C17" i="15"/>
  <c r="G48" i="1" l="1"/>
  <c r="K6" i="10"/>
  <c r="J7" i="10"/>
  <c r="G28" i="4"/>
  <c r="F29" i="4"/>
  <c r="L17" i="15"/>
  <c r="K17" i="15" s="1"/>
  <c r="F17" i="15"/>
  <c r="G12" i="11"/>
  <c r="E17" i="15" l="1"/>
  <c r="L6" i="10"/>
  <c r="K7" i="10"/>
  <c r="H28" i="4"/>
  <c r="I28" i="4" s="1"/>
  <c r="J28" i="4" s="1"/>
  <c r="K28" i="4" s="1"/>
  <c r="L28" i="4" s="1"/>
  <c r="M28" i="4" s="1"/>
  <c r="G29" i="4"/>
  <c r="J3" i="1"/>
  <c r="K3" i="1" s="1"/>
  <c r="L3" i="1" s="1"/>
  <c r="M3" i="1" s="1"/>
  <c r="N3" i="1" s="1"/>
  <c r="O3" i="1" s="1"/>
  <c r="P3" i="1" s="1"/>
  <c r="H19" i="11"/>
  <c r="R19" i="11" s="1"/>
  <c r="G32" i="11"/>
  <c r="G34" i="11"/>
  <c r="G37" i="11"/>
  <c r="G26" i="11"/>
  <c r="G25" i="11"/>
  <c r="G24" i="11"/>
  <c r="G23" i="11"/>
  <c r="I6" i="1"/>
  <c r="G26" i="1"/>
  <c r="B7" i="4"/>
  <c r="C7" i="4" s="1"/>
  <c r="M6" i="10" l="1"/>
  <c r="L7" i="10"/>
  <c r="H29" i="4"/>
  <c r="B10" i="10" l="1"/>
  <c r="M7" i="10"/>
  <c r="M8" i="10" s="1"/>
  <c r="G13" i="11" s="1"/>
  <c r="G15" i="11" s="1"/>
  <c r="I29" i="4"/>
  <c r="C19" i="11"/>
  <c r="C10" i="10" l="1"/>
  <c r="B11" i="10"/>
  <c r="J29" i="4"/>
  <c r="D6" i="14"/>
  <c r="C11" i="10" l="1"/>
  <c r="D10" i="10"/>
  <c r="K29" i="4"/>
  <c r="D5" i="14"/>
  <c r="C17" i="13"/>
  <c r="F16" i="13" s="1"/>
  <c r="H32" i="11"/>
  <c r="C49" i="11"/>
  <c r="H35" i="11"/>
  <c r="I35" i="11" s="1"/>
  <c r="J35" i="11" s="1"/>
  <c r="H34" i="11"/>
  <c r="H33" i="11"/>
  <c r="H26" i="11"/>
  <c r="H25" i="11"/>
  <c r="H24" i="11"/>
  <c r="H47" i="11"/>
  <c r="H23" i="11"/>
  <c r="C51" i="11"/>
  <c r="C18" i="11"/>
  <c r="H12" i="11"/>
  <c r="R12" i="11" s="1"/>
  <c r="C10" i="11"/>
  <c r="K8" i="11"/>
  <c r="L8" i="11" s="1"/>
  <c r="M8" i="11" s="1"/>
  <c r="N8" i="11" s="1"/>
  <c r="O8" i="11" s="1"/>
  <c r="P8" i="11" s="1"/>
  <c r="I7" i="11"/>
  <c r="J7" i="11" s="1"/>
  <c r="K7" i="11" s="1"/>
  <c r="L7" i="11" s="1"/>
  <c r="M7" i="11" s="1"/>
  <c r="N7" i="11" s="1"/>
  <c r="O7" i="11" s="1"/>
  <c r="P7" i="11" s="1"/>
  <c r="J6" i="11"/>
  <c r="K6" i="11" s="1"/>
  <c r="L6" i="11" s="1"/>
  <c r="M6" i="11" s="1"/>
  <c r="N6" i="11" s="1"/>
  <c r="O6" i="11" s="1"/>
  <c r="P6" i="11" s="1"/>
  <c r="H5" i="11"/>
  <c r="I5" i="11" s="1"/>
  <c r="J5" i="11" s="1"/>
  <c r="K5" i="11" s="1"/>
  <c r="L5" i="11" s="1"/>
  <c r="M5" i="11" s="1"/>
  <c r="N5" i="11" s="1"/>
  <c r="O5" i="11" s="1"/>
  <c r="P5" i="11" s="1"/>
  <c r="J4" i="11"/>
  <c r="K4" i="11" s="1"/>
  <c r="L4" i="11" s="1"/>
  <c r="M4" i="11" s="1"/>
  <c r="N4" i="11" s="1"/>
  <c r="O4" i="11" s="1"/>
  <c r="P4" i="11" s="1"/>
  <c r="J2" i="11"/>
  <c r="K2" i="11" s="1"/>
  <c r="R16" i="11" l="1"/>
  <c r="D11" i="10"/>
  <c r="E10" i="10"/>
  <c r="M29" i="4"/>
  <c r="L29" i="4"/>
  <c r="H16" i="11"/>
  <c r="I34" i="11"/>
  <c r="J34" i="11" s="1"/>
  <c r="K34" i="11" s="1"/>
  <c r="L34" i="11" s="1"/>
  <c r="M34" i="11" s="1"/>
  <c r="N34" i="11" s="1"/>
  <c r="O34" i="11" s="1"/>
  <c r="P34" i="11" s="1"/>
  <c r="I23" i="11"/>
  <c r="J23" i="11" s="1"/>
  <c r="K23" i="11" s="1"/>
  <c r="L23" i="11" s="1"/>
  <c r="M23" i="11" s="1"/>
  <c r="N23" i="11" s="1"/>
  <c r="O23" i="11" s="1"/>
  <c r="P23" i="11" s="1"/>
  <c r="I25" i="11"/>
  <c r="J25" i="11" s="1"/>
  <c r="K25" i="11" s="1"/>
  <c r="L25" i="11" s="1"/>
  <c r="M25" i="11" s="1"/>
  <c r="N25" i="11" s="1"/>
  <c r="O25" i="11" s="1"/>
  <c r="P25" i="11" s="1"/>
  <c r="I26" i="11"/>
  <c r="J26" i="11" s="1"/>
  <c r="K26" i="11" s="1"/>
  <c r="L26" i="11" s="1"/>
  <c r="M26" i="11" s="1"/>
  <c r="N26" i="11" s="1"/>
  <c r="O26" i="11" s="1"/>
  <c r="P26" i="11" s="1"/>
  <c r="I33" i="11"/>
  <c r="J33" i="11" s="1"/>
  <c r="K33" i="11" s="1"/>
  <c r="L33" i="11" s="1"/>
  <c r="M33" i="11" s="1"/>
  <c r="N33" i="11" s="1"/>
  <c r="O33" i="11" s="1"/>
  <c r="P33" i="11" s="1"/>
  <c r="I32" i="11"/>
  <c r="J32" i="11" s="1"/>
  <c r="K32" i="11" s="1"/>
  <c r="L32" i="11" s="1"/>
  <c r="M32" i="11" s="1"/>
  <c r="N32" i="11" s="1"/>
  <c r="O32" i="11" s="1"/>
  <c r="P32" i="11" s="1"/>
  <c r="I24" i="11"/>
  <c r="J24" i="11" s="1"/>
  <c r="K24" i="11" s="1"/>
  <c r="L24" i="11" s="1"/>
  <c r="M24" i="11" s="1"/>
  <c r="N24" i="11" s="1"/>
  <c r="O24" i="11" s="1"/>
  <c r="P24" i="11" s="1"/>
  <c r="I19" i="11"/>
  <c r="J19" i="11" s="1"/>
  <c r="K19" i="11" s="1"/>
  <c r="K35" i="11"/>
  <c r="L35" i="11" s="1"/>
  <c r="M35" i="11" s="1"/>
  <c r="N35" i="11" s="1"/>
  <c r="O35" i="11" s="1"/>
  <c r="P35" i="11" s="1"/>
  <c r="H42" i="11"/>
  <c r="A22" i="13"/>
  <c r="A23" i="13" s="1"/>
  <c r="D7" i="14"/>
  <c r="C50" i="11"/>
  <c r="C52" i="11" s="1"/>
  <c r="F17" i="13"/>
  <c r="L2" i="11"/>
  <c r="M2" i="11" s="1"/>
  <c r="N2" i="11" s="1"/>
  <c r="O2" i="11" s="1"/>
  <c r="P2" i="11" s="1"/>
  <c r="H22" i="11"/>
  <c r="I22" i="11" s="1"/>
  <c r="J22" i="11" s="1"/>
  <c r="K22" i="11" s="1"/>
  <c r="L22" i="11" s="1"/>
  <c r="M22" i="11" s="1"/>
  <c r="N22" i="11" s="1"/>
  <c r="O22" i="11" s="1"/>
  <c r="P22" i="11" s="1"/>
  <c r="I12" i="11"/>
  <c r="H37" i="11"/>
  <c r="G16" i="11"/>
  <c r="B20" i="11"/>
  <c r="I18" i="1" l="1"/>
  <c r="J18" i="1" s="1"/>
  <c r="K18" i="1" s="1"/>
  <c r="L18" i="1" s="1"/>
  <c r="M18" i="1" s="1"/>
  <c r="N18" i="1" s="1"/>
  <c r="O18" i="1" s="1"/>
  <c r="P18" i="1" s="1"/>
  <c r="R18" i="1"/>
  <c r="E11" i="10"/>
  <c r="F10" i="10"/>
  <c r="M30" i="4"/>
  <c r="H18" i="1" s="1"/>
  <c r="C22" i="11"/>
  <c r="C23" i="11"/>
  <c r="F49" i="11" s="1"/>
  <c r="F50" i="11" s="1"/>
  <c r="B22" i="13"/>
  <c r="L19" i="11"/>
  <c r="M19" i="11" s="1"/>
  <c r="N19" i="11" s="1"/>
  <c r="O19" i="11" s="1"/>
  <c r="P19" i="11" s="1"/>
  <c r="B23" i="13"/>
  <c r="A24" i="13"/>
  <c r="I37" i="11"/>
  <c r="J12" i="11"/>
  <c r="I16" i="11"/>
  <c r="F11" i="10" l="1"/>
  <c r="G10" i="10"/>
  <c r="C46" i="11"/>
  <c r="C47" i="11" s="1"/>
  <c r="B24" i="13"/>
  <c r="A25" i="13"/>
  <c r="J16" i="11"/>
  <c r="K12" i="11"/>
  <c r="J37" i="11"/>
  <c r="H10" i="10" l="1"/>
  <c r="G11" i="10"/>
  <c r="G17" i="11"/>
  <c r="G14" i="11"/>
  <c r="F14" i="11" s="1"/>
  <c r="F15" i="11"/>
  <c r="B25" i="13"/>
  <c r="A26" i="13"/>
  <c r="B50" i="11"/>
  <c r="B49" i="11"/>
  <c r="B51" i="11"/>
  <c r="B45" i="11"/>
  <c r="B46" i="11"/>
  <c r="K16" i="11"/>
  <c r="L12" i="11"/>
  <c r="K37" i="11"/>
  <c r="H11" i="10" l="1"/>
  <c r="I10" i="10"/>
  <c r="G20" i="11"/>
  <c r="B52" i="11"/>
  <c r="B26" i="13"/>
  <c r="A27" i="13"/>
  <c r="L37" i="11"/>
  <c r="M12" i="11"/>
  <c r="L16" i="11"/>
  <c r="J10" i="10" l="1"/>
  <c r="I11" i="10"/>
  <c r="G36" i="11"/>
  <c r="G38" i="11" s="1"/>
  <c r="B27" i="13"/>
  <c r="A28" i="13"/>
  <c r="N12" i="11"/>
  <c r="M16" i="11"/>
  <c r="M37" i="11"/>
  <c r="K10" i="10" l="1"/>
  <c r="L10" i="10" s="1"/>
  <c r="M10" i="10" s="1"/>
  <c r="M11" i="10" s="1"/>
  <c r="J11" i="10"/>
  <c r="F38" i="11"/>
  <c r="G40" i="11"/>
  <c r="C16" i="11" s="1"/>
  <c r="C17" i="11" s="1"/>
  <c r="A29" i="13"/>
  <c r="B28" i="13"/>
  <c r="N37" i="11"/>
  <c r="O12" i="11"/>
  <c r="N16" i="11"/>
  <c r="I13" i="11" l="1"/>
  <c r="J13" i="11" s="1"/>
  <c r="K13" i="11" s="1"/>
  <c r="L13" i="11" s="1"/>
  <c r="M13" i="11" s="1"/>
  <c r="N13" i="11" s="1"/>
  <c r="O13" i="11" s="1"/>
  <c r="P13" i="11" s="1"/>
  <c r="R13" i="11"/>
  <c r="R17" i="11" s="1"/>
  <c r="L11" i="10"/>
  <c r="K11" i="10"/>
  <c r="G43" i="11"/>
  <c r="G49" i="11" s="1"/>
  <c r="A30" i="13"/>
  <c r="B29" i="13"/>
  <c r="O37" i="11"/>
  <c r="O16" i="11"/>
  <c r="P12" i="11"/>
  <c r="R14" i="11" l="1"/>
  <c r="R15" i="11"/>
  <c r="M12" i="10"/>
  <c r="H13" i="11" s="1"/>
  <c r="G50" i="11"/>
  <c r="G44" i="11"/>
  <c r="A31" i="13"/>
  <c r="B30" i="13"/>
  <c r="P16" i="11"/>
  <c r="P37" i="11"/>
  <c r="R20" i="11" l="1"/>
  <c r="C32" i="11" s="1"/>
  <c r="H14" i="11"/>
  <c r="H17" i="11"/>
  <c r="H15" i="11"/>
  <c r="B31" i="13"/>
  <c r="A32" i="13"/>
  <c r="H20" i="11" l="1"/>
  <c r="B32" i="13"/>
  <c r="A33" i="13"/>
  <c r="B33" i="13" l="1"/>
  <c r="A34" i="13"/>
  <c r="B34" i="13" l="1"/>
  <c r="A35" i="13"/>
  <c r="B35" i="13" l="1"/>
  <c r="A36" i="13"/>
  <c r="B36" i="13" l="1"/>
  <c r="A37" i="13"/>
  <c r="H36" i="11" l="1"/>
  <c r="H38" i="11" s="1"/>
  <c r="B37" i="13"/>
  <c r="A38" i="13"/>
  <c r="H40" i="11" l="1"/>
  <c r="H43" i="11" s="1"/>
  <c r="H44" i="11" s="1"/>
  <c r="C33" i="11"/>
  <c r="C34" i="11" s="1"/>
  <c r="B38" i="13"/>
  <c r="A39" i="13"/>
  <c r="H50" i="11" l="1"/>
  <c r="H49" i="11"/>
  <c r="B39" i="13"/>
  <c r="A40" i="13"/>
  <c r="B40" i="13" l="1"/>
  <c r="A41" i="13"/>
  <c r="B41" i="13" l="1"/>
  <c r="A42" i="13"/>
  <c r="B42" i="13" l="1"/>
  <c r="A43" i="13"/>
  <c r="A44" i="13" l="1"/>
  <c r="B43" i="13"/>
  <c r="A45" i="13" l="1"/>
  <c r="B44" i="13"/>
  <c r="B45" i="13" l="1"/>
  <c r="A46" i="13"/>
  <c r="B46" i="13" l="1"/>
  <c r="A47" i="13"/>
  <c r="J15" i="11"/>
  <c r="K15" i="11" l="1"/>
  <c r="J14" i="11"/>
  <c r="J17" i="11"/>
  <c r="B47" i="13"/>
  <c r="A48" i="13"/>
  <c r="I15" i="11"/>
  <c r="J20" i="11" l="1"/>
  <c r="I14" i="11"/>
  <c r="I17" i="11"/>
  <c r="L15" i="11"/>
  <c r="K17" i="11"/>
  <c r="K14" i="11"/>
  <c r="B48" i="13"/>
  <c r="A49" i="13"/>
  <c r="J36" i="11" l="1"/>
  <c r="J38" i="11" s="1"/>
  <c r="J40" i="11" s="1"/>
  <c r="I20" i="11"/>
  <c r="I36" i="11" s="1"/>
  <c r="I38" i="11" s="1"/>
  <c r="I40" i="11" s="1"/>
  <c r="K20" i="11"/>
  <c r="K36" i="11" s="1"/>
  <c r="K38" i="11" s="1"/>
  <c r="K40" i="11" s="1"/>
  <c r="M15" i="11"/>
  <c r="L14" i="11"/>
  <c r="L17" i="11"/>
  <c r="B49" i="13"/>
  <c r="A50" i="13"/>
  <c r="C35" i="11" l="1"/>
  <c r="C36" i="11" s="1"/>
  <c r="I47" i="11" s="1"/>
  <c r="J47" i="11" s="1"/>
  <c r="K47" i="11" s="1"/>
  <c r="L20" i="11"/>
  <c r="L36" i="11" s="1"/>
  <c r="L38" i="11" s="1"/>
  <c r="L40" i="11" s="1"/>
  <c r="M17" i="11"/>
  <c r="M14" i="11"/>
  <c r="B50" i="13"/>
  <c r="A51" i="13"/>
  <c r="C7" i="13" l="1"/>
  <c r="C14" i="13" s="1"/>
  <c r="C16" i="13" s="1"/>
  <c r="I42" i="11"/>
  <c r="M20" i="11"/>
  <c r="M36" i="11" s="1"/>
  <c r="M38" i="11" s="1"/>
  <c r="M40" i="11" s="1"/>
  <c r="N17" i="11"/>
  <c r="N14" i="11"/>
  <c r="N15" i="11"/>
  <c r="B51" i="13"/>
  <c r="A52" i="13"/>
  <c r="I26" i="13" l="1"/>
  <c r="L42" i="11" s="1"/>
  <c r="G16" i="13"/>
  <c r="C22" i="13" s="1"/>
  <c r="N20" i="11"/>
  <c r="N36" i="11" s="1"/>
  <c r="N38" i="11" s="1"/>
  <c r="N40" i="11" s="1"/>
  <c r="O14" i="11"/>
  <c r="O17" i="11"/>
  <c r="O15" i="11"/>
  <c r="B52" i="13"/>
  <c r="A53" i="13"/>
  <c r="M42" i="11" l="1"/>
  <c r="L43" i="11"/>
  <c r="G17" i="13"/>
  <c r="D22" i="13"/>
  <c r="J42" i="11"/>
  <c r="I43" i="11"/>
  <c r="O20" i="11"/>
  <c r="O36" i="11" s="1"/>
  <c r="O38" i="11" s="1"/>
  <c r="O40" i="11" s="1"/>
  <c r="P17" i="11"/>
  <c r="P14" i="11"/>
  <c r="P15" i="11"/>
  <c r="A54" i="13"/>
  <c r="B53" i="13"/>
  <c r="I44" i="11" l="1"/>
  <c r="I49" i="11"/>
  <c r="I50" i="11"/>
  <c r="G22" i="13"/>
  <c r="E22" i="13"/>
  <c r="K42" i="11"/>
  <c r="K43" i="11" s="1"/>
  <c r="J43" i="11"/>
  <c r="L44" i="11"/>
  <c r="L49" i="11"/>
  <c r="L50" i="11"/>
  <c r="N42" i="11"/>
  <c r="M43" i="11"/>
  <c r="P20" i="11"/>
  <c r="P36" i="11" s="1"/>
  <c r="P38" i="11" s="1"/>
  <c r="P40" i="11" s="1"/>
  <c r="A55" i="13"/>
  <c r="B54" i="13"/>
  <c r="F22" i="13" l="1"/>
  <c r="C23" i="13" s="1"/>
  <c r="O42" i="11"/>
  <c r="N43" i="11"/>
  <c r="J44" i="11"/>
  <c r="J49" i="11"/>
  <c r="J50" i="11"/>
  <c r="K44" i="11"/>
  <c r="K49" i="11"/>
  <c r="K50" i="11"/>
  <c r="M44" i="11"/>
  <c r="M49" i="11"/>
  <c r="M50" i="11"/>
  <c r="B59" i="11"/>
  <c r="B60" i="11" s="1"/>
  <c r="C59" i="11"/>
  <c r="C60" i="11" s="1"/>
  <c r="B55" i="13"/>
  <c r="A56" i="13"/>
  <c r="N44" i="11" l="1"/>
  <c r="N49" i="11"/>
  <c r="N50" i="11"/>
  <c r="P42" i="11"/>
  <c r="P43" i="11" s="1"/>
  <c r="P44" i="11" s="1"/>
  <c r="O43" i="11"/>
  <c r="D23" i="13"/>
  <c r="B56" i="13"/>
  <c r="A57" i="13"/>
  <c r="E23" i="13" l="1"/>
  <c r="G23" i="13"/>
  <c r="O50" i="11"/>
  <c r="O49" i="11"/>
  <c r="O44" i="11"/>
  <c r="B57" i="13"/>
  <c r="A58" i="13"/>
  <c r="F23" i="13" l="1"/>
  <c r="C24" i="13" s="1"/>
  <c r="B58" i="13"/>
  <c r="A59" i="13"/>
  <c r="D24" i="13" l="1"/>
  <c r="B59" i="13"/>
  <c r="A60" i="13"/>
  <c r="E24" i="13" l="1"/>
  <c r="G24" i="13"/>
  <c r="B60" i="13"/>
  <c r="A61" i="13"/>
  <c r="F24" i="13" l="1"/>
  <c r="C25" i="13" s="1"/>
  <c r="A62" i="13"/>
  <c r="B61" i="13"/>
  <c r="D25" i="13" l="1"/>
  <c r="A63" i="13"/>
  <c r="B62" i="13"/>
  <c r="E25" i="13" l="1"/>
  <c r="G25" i="13"/>
  <c r="B63" i="13"/>
  <c r="A64" i="13"/>
  <c r="F25" i="13" l="1"/>
  <c r="C26" i="13" s="1"/>
  <c r="B64" i="13"/>
  <c r="A65" i="13"/>
  <c r="D26" i="13" l="1"/>
  <c r="B65" i="13"/>
  <c r="A66" i="13"/>
  <c r="E26" i="13" l="1"/>
  <c r="G26" i="13"/>
  <c r="B66" i="13"/>
  <c r="A67" i="13"/>
  <c r="F26" i="13" l="1"/>
  <c r="C27" i="13" s="1"/>
  <c r="D27" i="13" s="1"/>
  <c r="E27" i="13" s="1"/>
  <c r="F27" i="13" s="1"/>
  <c r="C28" i="13" s="1"/>
  <c r="D28" i="13" s="1"/>
  <c r="E28" i="13" s="1"/>
  <c r="F28" i="13" s="1"/>
  <c r="C29" i="13" s="1"/>
  <c r="D29" i="13" s="1"/>
  <c r="E29" i="13" s="1"/>
  <c r="F29" i="13" s="1"/>
  <c r="C30" i="13" s="1"/>
  <c r="D30" i="13" s="1"/>
  <c r="E30" i="13" s="1"/>
  <c r="F30" i="13" s="1"/>
  <c r="C31" i="13" s="1"/>
  <c r="D31" i="13" s="1"/>
  <c r="E31" i="13" s="1"/>
  <c r="F31" i="13" s="1"/>
  <c r="C32" i="13" s="1"/>
  <c r="D32" i="13" s="1"/>
  <c r="E32" i="13" s="1"/>
  <c r="F32" i="13" s="1"/>
  <c r="C33" i="13" s="1"/>
  <c r="B67" i="13"/>
  <c r="A68" i="13"/>
  <c r="D33" i="13" l="1"/>
  <c r="G27" i="13"/>
  <c r="G28" i="13" s="1"/>
  <c r="G29" i="13" s="1"/>
  <c r="G30" i="13" s="1"/>
  <c r="G31" i="13" s="1"/>
  <c r="G32" i="13" s="1"/>
  <c r="A69" i="13"/>
  <c r="B68" i="13"/>
  <c r="G33" i="13" l="1"/>
  <c r="E33" i="13"/>
  <c r="I29" i="13"/>
  <c r="A70" i="13"/>
  <c r="B69" i="13"/>
  <c r="I32" i="13" l="1"/>
  <c r="F33" i="13"/>
  <c r="L47" i="11" s="1"/>
  <c r="A71" i="13"/>
  <c r="B70" i="13"/>
  <c r="C34" i="13" l="1"/>
  <c r="B71" i="13"/>
  <c r="A72" i="13"/>
  <c r="D34" i="13" l="1"/>
  <c r="B72" i="13"/>
  <c r="A73" i="13"/>
  <c r="E34" i="13" l="1"/>
  <c r="F34" i="13" s="1"/>
  <c r="C35" i="13" s="1"/>
  <c r="G34" i="13"/>
  <c r="B73" i="13"/>
  <c r="A74" i="13"/>
  <c r="D35" i="13" l="1"/>
  <c r="E35" i="13" s="1"/>
  <c r="F35" i="13" s="1"/>
  <c r="C36" i="13" s="1"/>
  <c r="B74" i="13"/>
  <c r="A75" i="13"/>
  <c r="D36" i="13" l="1"/>
  <c r="E36" i="13" s="1"/>
  <c r="F36" i="13" s="1"/>
  <c r="C37" i="13" s="1"/>
  <c r="G35" i="13"/>
  <c r="B75" i="13"/>
  <c r="A76" i="13"/>
  <c r="G36" i="13" l="1"/>
  <c r="D37" i="13"/>
  <c r="E37" i="13" s="1"/>
  <c r="F37" i="13" s="1"/>
  <c r="C38" i="13" s="1"/>
  <c r="A77" i="13"/>
  <c r="B76" i="13"/>
  <c r="D38" i="13" l="1"/>
  <c r="E38" i="13" s="1"/>
  <c r="F38" i="13" s="1"/>
  <c r="C39" i="13" s="1"/>
  <c r="G37" i="13"/>
  <c r="A78" i="13"/>
  <c r="B77" i="13"/>
  <c r="D39" i="13" l="1"/>
  <c r="E39" i="13" s="1"/>
  <c r="F39" i="13" s="1"/>
  <c r="C40" i="13" s="1"/>
  <c r="G38" i="13"/>
  <c r="A79" i="13"/>
  <c r="B78" i="13"/>
  <c r="D40" i="13" l="1"/>
  <c r="E40" i="13" s="1"/>
  <c r="F40" i="13" s="1"/>
  <c r="C41" i="13" s="1"/>
  <c r="G39" i="13"/>
  <c r="B79" i="13"/>
  <c r="A80" i="13"/>
  <c r="G40" i="13" l="1"/>
  <c r="D41" i="13"/>
  <c r="E41" i="13" s="1"/>
  <c r="F41" i="13" s="1"/>
  <c r="C42" i="13" s="1"/>
  <c r="B80" i="13"/>
  <c r="A81" i="13"/>
  <c r="D42" i="13" l="1"/>
  <c r="E42" i="13" s="1"/>
  <c r="F42" i="13" s="1"/>
  <c r="C43" i="13" s="1"/>
  <c r="G41" i="13"/>
  <c r="A82" i="13"/>
  <c r="B81" i="13"/>
  <c r="D43" i="13" l="1"/>
  <c r="E43" i="13" s="1"/>
  <c r="F43" i="13" s="1"/>
  <c r="C44" i="13" s="1"/>
  <c r="D44" i="13" s="1"/>
  <c r="E44" i="13" s="1"/>
  <c r="F44" i="13" s="1"/>
  <c r="C45" i="13" s="1"/>
  <c r="G42" i="13"/>
  <c r="A83" i="13"/>
  <c r="B82" i="13"/>
  <c r="D45" i="13" l="1"/>
  <c r="E45" i="13" s="1"/>
  <c r="I33" i="13" s="1"/>
  <c r="G43" i="13"/>
  <c r="G44" i="13" s="1"/>
  <c r="A84" i="13"/>
  <c r="B83" i="13"/>
  <c r="G45" i="13" l="1"/>
  <c r="F45" i="13"/>
  <c r="M47" i="11" s="1"/>
  <c r="A85" i="13"/>
  <c r="B84" i="13"/>
  <c r="C46" i="13" l="1"/>
  <c r="B85" i="13"/>
  <c r="A86" i="13"/>
  <c r="D46" i="13" l="1"/>
  <c r="B86" i="13"/>
  <c r="A87" i="13"/>
  <c r="E46" i="13" l="1"/>
  <c r="F46" i="13" s="1"/>
  <c r="C47" i="13" s="1"/>
  <c r="D47" i="13" s="1"/>
  <c r="E47" i="13" s="1"/>
  <c r="G46" i="13"/>
  <c r="B87" i="13"/>
  <c r="A88" i="13"/>
  <c r="F47" i="13" l="1"/>
  <c r="C48" i="13" s="1"/>
  <c r="D48" i="13" s="1"/>
  <c r="G47" i="13"/>
  <c r="B88" i="13"/>
  <c r="A89" i="13"/>
  <c r="E48" i="13" l="1"/>
  <c r="G48" i="13"/>
  <c r="A90" i="13"/>
  <c r="B89" i="13"/>
  <c r="A91" i="13" l="1"/>
  <c r="B90" i="13"/>
  <c r="F48" i="13"/>
  <c r="C49" i="13" s="1"/>
  <c r="A92" i="13" l="1"/>
  <c r="B91" i="13"/>
  <c r="D49" i="13"/>
  <c r="E49" i="13" l="1"/>
  <c r="G49" i="13"/>
  <c r="A93" i="13"/>
  <c r="B92" i="13"/>
  <c r="B93" i="13" l="1"/>
  <c r="A94" i="13"/>
  <c r="F49" i="13"/>
  <c r="C50" i="13" s="1"/>
  <c r="D50" i="13" l="1"/>
  <c r="B94" i="13"/>
  <c r="A95" i="13"/>
  <c r="B95" i="13" l="1"/>
  <c r="A96" i="13"/>
  <c r="E50" i="13"/>
  <c r="G50" i="13"/>
  <c r="B96" i="13" l="1"/>
  <c r="A97" i="13"/>
  <c r="K48" i="13"/>
  <c r="K47" i="13"/>
  <c r="F50" i="13"/>
  <c r="C51" i="13" s="1"/>
  <c r="A98" i="13" l="1"/>
  <c r="B97" i="13"/>
  <c r="D51" i="13"/>
  <c r="A99" i="13" l="1"/>
  <c r="B98" i="13"/>
  <c r="E51" i="13"/>
  <c r="F51" i="13" s="1"/>
  <c r="C52" i="13" s="1"/>
  <c r="G51" i="13"/>
  <c r="D52" i="13" l="1"/>
  <c r="E52" i="13" s="1"/>
  <c r="F52" i="13" s="1"/>
  <c r="C53" i="13" s="1"/>
  <c r="A100" i="13"/>
  <c r="B99" i="13"/>
  <c r="G52" i="13" l="1"/>
  <c r="D53" i="13"/>
  <c r="E53" i="13" s="1"/>
  <c r="F53" i="13" s="1"/>
  <c r="C54" i="13" s="1"/>
  <c r="A101" i="13"/>
  <c r="B100" i="13"/>
  <c r="G53" i="13" l="1"/>
  <c r="D54" i="13"/>
  <c r="E54" i="13" s="1"/>
  <c r="F54" i="13" s="1"/>
  <c r="C55" i="13" s="1"/>
  <c r="B101" i="13"/>
  <c r="A102" i="13"/>
  <c r="G54" i="13" l="1"/>
  <c r="B102" i="13"/>
  <c r="A103" i="13"/>
  <c r="D55" i="13"/>
  <c r="E55" i="13" s="1"/>
  <c r="F55" i="13" s="1"/>
  <c r="C56" i="13" s="1"/>
  <c r="D56" i="13" l="1"/>
  <c r="E56" i="13" s="1"/>
  <c r="F56" i="13" s="1"/>
  <c r="B103" i="13"/>
  <c r="A104" i="13"/>
  <c r="G55" i="13"/>
  <c r="C57" i="13" l="1"/>
  <c r="D57" i="13" s="1"/>
  <c r="E57" i="13" s="1"/>
  <c r="I34" i="13" s="1"/>
  <c r="G56" i="13"/>
  <c r="B104" i="13"/>
  <c r="A105" i="13"/>
  <c r="G57" i="13" l="1"/>
  <c r="F57" i="13"/>
  <c r="N47" i="11" s="1"/>
  <c r="A106" i="13"/>
  <c r="B105" i="13"/>
  <c r="C58" i="13" l="1"/>
  <c r="D58" i="13" s="1"/>
  <c r="E58" i="13" s="1"/>
  <c r="F58" i="13" s="1"/>
  <c r="C59" i="13" s="1"/>
  <c r="D59" i="13" s="1"/>
  <c r="E59" i="13" s="1"/>
  <c r="F59" i="13" s="1"/>
  <c r="C60" i="13" s="1"/>
  <c r="A107" i="13"/>
  <c r="B106" i="13"/>
  <c r="G58" i="13" l="1"/>
  <c r="G59" i="13" s="1"/>
  <c r="D60" i="13"/>
  <c r="E60" i="13" s="1"/>
  <c r="A108" i="13"/>
  <c r="B107" i="13"/>
  <c r="G60" i="13" l="1"/>
  <c r="A109" i="13"/>
  <c r="B108" i="13"/>
  <c r="F60" i="13"/>
  <c r="C61" i="13" s="1"/>
  <c r="B109" i="13" l="1"/>
  <c r="A110" i="13"/>
  <c r="D61" i="13"/>
  <c r="B110" i="13" l="1"/>
  <c r="A111" i="13"/>
  <c r="E61" i="13"/>
  <c r="F61" i="13" s="1"/>
  <c r="C62" i="13" s="1"/>
  <c r="G61" i="13"/>
  <c r="B111" i="13" l="1"/>
  <c r="A112" i="13"/>
  <c r="D62" i="13"/>
  <c r="E62" i="13" s="1"/>
  <c r="F62" i="13" s="1"/>
  <c r="C63" i="13" s="1"/>
  <c r="D63" i="13" l="1"/>
  <c r="E63" i="13" s="1"/>
  <c r="F63" i="13" s="1"/>
  <c r="C64" i="13" s="1"/>
  <c r="B112" i="13"/>
  <c r="A113" i="13"/>
  <c r="G62" i="13"/>
  <c r="G63" i="13" l="1"/>
  <c r="D64" i="13"/>
  <c r="E64" i="13" s="1"/>
  <c r="F64" i="13" s="1"/>
  <c r="C65" i="13" s="1"/>
  <c r="A114" i="13"/>
  <c r="B113" i="13"/>
  <c r="G64" i="13" l="1"/>
  <c r="D65" i="13"/>
  <c r="E65" i="13" s="1"/>
  <c r="F65" i="13" s="1"/>
  <c r="C66" i="13" s="1"/>
  <c r="A115" i="13"/>
  <c r="B114" i="13"/>
  <c r="G65" i="13" l="1"/>
  <c r="D66" i="13"/>
  <c r="E66" i="13" s="1"/>
  <c r="F66" i="13" s="1"/>
  <c r="C67" i="13" s="1"/>
  <c r="A116" i="13"/>
  <c r="B115" i="13"/>
  <c r="G66" i="13" l="1"/>
  <c r="D67" i="13"/>
  <c r="E67" i="13" s="1"/>
  <c r="F67" i="13" s="1"/>
  <c r="C68" i="13" s="1"/>
  <c r="A117" i="13"/>
  <c r="B116" i="13"/>
  <c r="D68" i="13" l="1"/>
  <c r="E68" i="13" s="1"/>
  <c r="F68" i="13" s="1"/>
  <c r="C69" i="13" s="1"/>
  <c r="B117" i="13"/>
  <c r="A118" i="13"/>
  <c r="G67" i="13"/>
  <c r="G68" i="13" l="1"/>
  <c r="D69" i="13"/>
  <c r="E69" i="13" s="1"/>
  <c r="I35" i="13" s="1"/>
  <c r="B118" i="13"/>
  <c r="A119" i="13"/>
  <c r="B119" i="13" l="1"/>
  <c r="A120" i="13"/>
  <c r="G69" i="13"/>
  <c r="F69" i="13"/>
  <c r="O47" i="11" s="1"/>
  <c r="C70" i="13" l="1"/>
  <c r="D70" i="13" s="1"/>
  <c r="E70" i="13" s="1"/>
  <c r="F70" i="13" s="1"/>
  <c r="C71" i="13" s="1"/>
  <c r="B120" i="13"/>
  <c r="A121" i="13"/>
  <c r="G70" i="13" l="1"/>
  <c r="D71" i="13"/>
  <c r="E71" i="13" s="1"/>
  <c r="F71" i="13" s="1"/>
  <c r="C72" i="13" s="1"/>
  <c r="A122" i="13"/>
  <c r="B121" i="13"/>
  <c r="G71" i="13" l="1"/>
  <c r="D72" i="13"/>
  <c r="E72" i="13" s="1"/>
  <c r="F72" i="13" s="1"/>
  <c r="C73" i="13" s="1"/>
  <c r="A123" i="13"/>
  <c r="B122" i="13"/>
  <c r="G72" i="13" l="1"/>
  <c r="A124" i="13"/>
  <c r="B123" i="13"/>
  <c r="D73" i="13"/>
  <c r="E73" i="13" s="1"/>
  <c r="F73" i="13" s="1"/>
  <c r="C74" i="13" s="1"/>
  <c r="G73" i="13" l="1"/>
  <c r="D74" i="13"/>
  <c r="E74" i="13" s="1"/>
  <c r="F74" i="13" s="1"/>
  <c r="C75" i="13" s="1"/>
  <c r="A125" i="13"/>
  <c r="B124" i="13"/>
  <c r="D75" i="13" l="1"/>
  <c r="E75" i="13" s="1"/>
  <c r="F75" i="13" s="1"/>
  <c r="C76" i="13" s="1"/>
  <c r="B125" i="13"/>
  <c r="A126" i="13"/>
  <c r="G74" i="13"/>
  <c r="G75" i="13" l="1"/>
  <c r="D76" i="13"/>
  <c r="E76" i="13" s="1"/>
  <c r="F76" i="13" s="1"/>
  <c r="C77" i="13" s="1"/>
  <c r="B126" i="13"/>
  <c r="A127" i="13"/>
  <c r="G76" i="13" l="1"/>
  <c r="D77" i="13"/>
  <c r="E77" i="13" s="1"/>
  <c r="F77" i="13" s="1"/>
  <c r="C78" i="13" s="1"/>
  <c r="B127" i="13"/>
  <c r="A128" i="13"/>
  <c r="G77" i="13" l="1"/>
  <c r="D78" i="13"/>
  <c r="E78" i="13" s="1"/>
  <c r="F78" i="13" s="1"/>
  <c r="C79" i="13" s="1"/>
  <c r="B128" i="13"/>
  <c r="A129" i="13"/>
  <c r="G78" i="13" l="1"/>
  <c r="D79" i="13"/>
  <c r="E79" i="13" s="1"/>
  <c r="F79" i="13" s="1"/>
  <c r="C80" i="13" s="1"/>
  <c r="A130" i="13"/>
  <c r="B129" i="13"/>
  <c r="G79" i="13" l="1"/>
  <c r="D80" i="13"/>
  <c r="E80" i="13" s="1"/>
  <c r="F80" i="13" s="1"/>
  <c r="C81" i="13" s="1"/>
  <c r="A131" i="13"/>
  <c r="B130" i="13"/>
  <c r="G80" i="13" l="1"/>
  <c r="D81" i="13"/>
  <c r="E81" i="13" s="1"/>
  <c r="I36" i="13" s="1"/>
  <c r="A132" i="13"/>
  <c r="B131" i="13"/>
  <c r="A133" i="13" l="1"/>
  <c r="B132" i="13"/>
  <c r="G81" i="13"/>
  <c r="F81" i="13"/>
  <c r="P47" i="11" s="1"/>
  <c r="C82" i="13" l="1"/>
  <c r="D82" i="13" s="1"/>
  <c r="E82" i="13" s="1"/>
  <c r="B133" i="13"/>
  <c r="A134" i="13"/>
  <c r="B134" i="13" l="1"/>
  <c r="A135" i="13"/>
  <c r="F82" i="13"/>
  <c r="C83" i="13" s="1"/>
  <c r="G82" i="13"/>
  <c r="B135" i="13" l="1"/>
  <c r="A136" i="13"/>
  <c r="D83" i="13"/>
  <c r="E83" i="13" s="1"/>
  <c r="G83" i="13" l="1"/>
  <c r="B136" i="13"/>
  <c r="A137" i="13"/>
  <c r="F83" i="13"/>
  <c r="C84" i="13" s="1"/>
  <c r="A138" i="13" l="1"/>
  <c r="B137" i="13"/>
  <c r="D84" i="13"/>
  <c r="E84" i="13" l="1"/>
  <c r="G84" i="13"/>
  <c r="A139" i="13"/>
  <c r="B138" i="13"/>
  <c r="A140" i="13" l="1"/>
  <c r="B139" i="13"/>
  <c r="F84" i="13"/>
  <c r="C85" i="13" s="1"/>
  <c r="A141" i="13" l="1"/>
  <c r="B140" i="13"/>
  <c r="D85" i="13"/>
  <c r="E85" i="13" l="1"/>
  <c r="F85" i="13" s="1"/>
  <c r="C86" i="13" s="1"/>
  <c r="G85" i="13"/>
  <c r="B141" i="13"/>
  <c r="A142" i="13"/>
  <c r="B142" i="13" l="1"/>
  <c r="A143" i="13"/>
  <c r="D86" i="13"/>
  <c r="E86" i="13" s="1"/>
  <c r="F86" i="13" s="1"/>
  <c r="C87" i="13" s="1"/>
  <c r="G86" i="13" l="1"/>
  <c r="D87" i="13"/>
  <c r="E87" i="13" s="1"/>
  <c r="F87" i="13" s="1"/>
  <c r="C88" i="13" s="1"/>
  <c r="B143" i="13"/>
  <c r="A144" i="13"/>
  <c r="G87" i="13" l="1"/>
  <c r="D88" i="13"/>
  <c r="E88" i="13" s="1"/>
  <c r="F88" i="13" s="1"/>
  <c r="C89" i="13" s="1"/>
  <c r="B144" i="13"/>
  <c r="A145" i="13"/>
  <c r="G88" i="13" l="1"/>
  <c r="D89" i="13"/>
  <c r="E89" i="13" s="1"/>
  <c r="F89" i="13" s="1"/>
  <c r="C90" i="13" s="1"/>
  <c r="A146" i="13"/>
  <c r="B145" i="13"/>
  <c r="G89" i="13" l="1"/>
  <c r="D90" i="13"/>
  <c r="E90" i="13" s="1"/>
  <c r="F90" i="13" s="1"/>
  <c r="C91" i="13" s="1"/>
  <c r="A147" i="13"/>
  <c r="B146" i="13"/>
  <c r="G90" i="13" l="1"/>
  <c r="D91" i="13"/>
  <c r="E91" i="13" s="1"/>
  <c r="F91" i="13" s="1"/>
  <c r="C92" i="13" s="1"/>
  <c r="A148" i="13"/>
  <c r="B147" i="13"/>
  <c r="G91" i="13" l="1"/>
  <c r="D92" i="13"/>
  <c r="E92" i="13" s="1"/>
  <c r="F92" i="13" s="1"/>
  <c r="C93" i="13" s="1"/>
  <c r="A149" i="13"/>
  <c r="B148" i="13"/>
  <c r="G92" i="13" l="1"/>
  <c r="D93" i="13"/>
  <c r="E93" i="13" s="1"/>
  <c r="I37" i="13" s="1"/>
  <c r="B149" i="13"/>
  <c r="A150" i="13"/>
  <c r="B150" i="13" l="1"/>
  <c r="A151" i="13"/>
  <c r="G93" i="13"/>
  <c r="F93" i="13"/>
  <c r="C94" i="13" l="1"/>
  <c r="D94" i="13" s="1"/>
  <c r="E94" i="13" s="1"/>
  <c r="F94" i="13" s="1"/>
  <c r="C95" i="13" s="1"/>
  <c r="B151" i="13"/>
  <c r="A152" i="13"/>
  <c r="D95" i="13" l="1"/>
  <c r="E95" i="13" s="1"/>
  <c r="F95" i="13" s="1"/>
  <c r="C96" i="13" s="1"/>
  <c r="B152" i="13"/>
  <c r="A153" i="13"/>
  <c r="G94" i="13"/>
  <c r="G95" i="13" l="1"/>
  <c r="D96" i="13"/>
  <c r="E96" i="13" s="1"/>
  <c r="F96" i="13" s="1"/>
  <c r="C97" i="13" s="1"/>
  <c r="A154" i="13"/>
  <c r="B153" i="13"/>
  <c r="G96" i="13" l="1"/>
  <c r="D97" i="13"/>
  <c r="E97" i="13" s="1"/>
  <c r="F97" i="13" s="1"/>
  <c r="C98" i="13" s="1"/>
  <c r="A155" i="13"/>
  <c r="B154" i="13"/>
  <c r="G97" i="13" l="1"/>
  <c r="D98" i="13"/>
  <c r="E98" i="13" s="1"/>
  <c r="F98" i="13" s="1"/>
  <c r="C99" i="13" s="1"/>
  <c r="A156" i="13"/>
  <c r="B155" i="13"/>
  <c r="G98" i="13" l="1"/>
  <c r="D99" i="13"/>
  <c r="E99" i="13" s="1"/>
  <c r="F99" i="13" s="1"/>
  <c r="C100" i="13" s="1"/>
  <c r="A157" i="13"/>
  <c r="B156" i="13"/>
  <c r="G99" i="13" l="1"/>
  <c r="D100" i="13"/>
  <c r="E100" i="13" s="1"/>
  <c r="F100" i="13" s="1"/>
  <c r="C101" i="13" s="1"/>
  <c r="B157" i="13"/>
  <c r="A158" i="13"/>
  <c r="G100" i="13" l="1"/>
  <c r="D101" i="13"/>
  <c r="E101" i="13" s="1"/>
  <c r="F101" i="13" s="1"/>
  <c r="C102" i="13" s="1"/>
  <c r="B158" i="13"/>
  <c r="A159" i="13"/>
  <c r="D102" i="13" l="1"/>
  <c r="E102" i="13" s="1"/>
  <c r="F102" i="13" s="1"/>
  <c r="C103" i="13" s="1"/>
  <c r="B159" i="13"/>
  <c r="A160" i="13"/>
  <c r="G101" i="13"/>
  <c r="D103" i="13" l="1"/>
  <c r="E103" i="13" s="1"/>
  <c r="F103" i="13" s="1"/>
  <c r="C104" i="13" s="1"/>
  <c r="B160" i="13"/>
  <c r="A161" i="13"/>
  <c r="G102" i="13"/>
  <c r="G103" i="13" l="1"/>
  <c r="D104" i="13"/>
  <c r="E104" i="13" s="1"/>
  <c r="F104" i="13" s="1"/>
  <c r="C105" i="13" s="1"/>
  <c r="A162" i="13"/>
  <c r="B161" i="13"/>
  <c r="G104" i="13" l="1"/>
  <c r="D105" i="13"/>
  <c r="E105" i="13" s="1"/>
  <c r="F105" i="13" s="1"/>
  <c r="A163" i="13"/>
  <c r="B162" i="13"/>
  <c r="C106" i="13" l="1"/>
  <c r="D106" i="13" s="1"/>
  <c r="E106" i="13" s="1"/>
  <c r="F106" i="13" s="1"/>
  <c r="C107" i="13" s="1"/>
  <c r="G105" i="13"/>
  <c r="A164" i="13"/>
  <c r="B163" i="13"/>
  <c r="D107" i="13" l="1"/>
  <c r="E107" i="13" s="1"/>
  <c r="F107" i="13" s="1"/>
  <c r="C108" i="13" s="1"/>
  <c r="A165" i="13"/>
  <c r="B164" i="13"/>
  <c r="G106" i="13"/>
  <c r="G107" i="13" l="1"/>
  <c r="D108" i="13"/>
  <c r="E108" i="13" s="1"/>
  <c r="F108" i="13" s="1"/>
  <c r="C109" i="13" s="1"/>
  <c r="B165" i="13"/>
  <c r="A166" i="13"/>
  <c r="G108" i="13" l="1"/>
  <c r="D109" i="13"/>
  <c r="E109" i="13" s="1"/>
  <c r="F109" i="13" s="1"/>
  <c r="C110" i="13" s="1"/>
  <c r="B166" i="13"/>
  <c r="A167" i="13"/>
  <c r="G109" i="13" l="1"/>
  <c r="D110" i="13"/>
  <c r="E110" i="13" s="1"/>
  <c r="F110" i="13" s="1"/>
  <c r="C111" i="13" s="1"/>
  <c r="B167" i="13"/>
  <c r="A168" i="13"/>
  <c r="G110" i="13" l="1"/>
  <c r="D111" i="13"/>
  <c r="E111" i="13" s="1"/>
  <c r="F111" i="13" s="1"/>
  <c r="C112" i="13" s="1"/>
  <c r="B168" i="13"/>
  <c r="A169" i="13"/>
  <c r="G111" i="13" l="1"/>
  <c r="D112" i="13"/>
  <c r="E112" i="13" s="1"/>
  <c r="F112" i="13" s="1"/>
  <c r="C113" i="13" s="1"/>
  <c r="A170" i="13"/>
  <c r="B169" i="13"/>
  <c r="D113" i="13" l="1"/>
  <c r="E113" i="13" s="1"/>
  <c r="F113" i="13" s="1"/>
  <c r="C114" i="13" s="1"/>
  <c r="A171" i="13"/>
  <c r="B170" i="13"/>
  <c r="G112" i="13"/>
  <c r="G113" i="13" l="1"/>
  <c r="D114" i="13"/>
  <c r="E114" i="13" s="1"/>
  <c r="F114" i="13" s="1"/>
  <c r="C115" i="13" s="1"/>
  <c r="A172" i="13"/>
  <c r="B171" i="13"/>
  <c r="G114" i="13" l="1"/>
  <c r="D115" i="13"/>
  <c r="E115" i="13" s="1"/>
  <c r="F115" i="13" s="1"/>
  <c r="C116" i="13" s="1"/>
  <c r="A173" i="13"/>
  <c r="B172" i="13"/>
  <c r="D116" i="13" l="1"/>
  <c r="E116" i="13" s="1"/>
  <c r="F116" i="13" s="1"/>
  <c r="C117" i="13" s="1"/>
  <c r="B173" i="13"/>
  <c r="A174" i="13"/>
  <c r="G115" i="13"/>
  <c r="G116" i="13" l="1"/>
  <c r="D117" i="13"/>
  <c r="E117" i="13" s="1"/>
  <c r="F117" i="13" s="1"/>
  <c r="B174" i="13"/>
  <c r="A175" i="13"/>
  <c r="C118" i="13" l="1"/>
  <c r="D118" i="13" s="1"/>
  <c r="E118" i="13" s="1"/>
  <c r="F118" i="13" s="1"/>
  <c r="C119" i="13" s="1"/>
  <c r="C57" i="11"/>
  <c r="B61" i="11" s="1"/>
  <c r="G117" i="13"/>
  <c r="B175" i="13"/>
  <c r="A176" i="13"/>
  <c r="C61" i="11" l="1"/>
  <c r="C62" i="11" s="1"/>
  <c r="P50" i="11" s="1"/>
  <c r="Q50" i="11" s="1"/>
  <c r="B62" i="11"/>
  <c r="P49" i="11" s="1"/>
  <c r="Q49" i="11" s="1"/>
  <c r="G118" i="13"/>
  <c r="D119" i="13"/>
  <c r="E119" i="13" s="1"/>
  <c r="F119" i="13" s="1"/>
  <c r="C120" i="13" s="1"/>
  <c r="B176" i="13"/>
  <c r="A177" i="13"/>
  <c r="G119" i="13" l="1"/>
  <c r="D120" i="13"/>
  <c r="E120" i="13" s="1"/>
  <c r="F120" i="13" s="1"/>
  <c r="C121" i="13" s="1"/>
  <c r="A178" i="13"/>
  <c r="B177" i="13"/>
  <c r="G120" i="13" l="1"/>
  <c r="D121" i="13"/>
  <c r="E121" i="13" s="1"/>
  <c r="F121" i="13" s="1"/>
  <c r="C122" i="13" s="1"/>
  <c r="A179" i="13"/>
  <c r="B178" i="13"/>
  <c r="G121" i="13" l="1"/>
  <c r="D122" i="13"/>
  <c r="E122" i="13" s="1"/>
  <c r="F122" i="13" s="1"/>
  <c r="C123" i="13" s="1"/>
  <c r="A180" i="13"/>
  <c r="B179" i="13"/>
  <c r="G122" i="13" l="1"/>
  <c r="D123" i="13"/>
  <c r="E123" i="13" s="1"/>
  <c r="F123" i="13" s="1"/>
  <c r="C124" i="13" s="1"/>
  <c r="A181" i="13"/>
  <c r="B180" i="13"/>
  <c r="D124" i="13" l="1"/>
  <c r="E124" i="13" s="1"/>
  <c r="F124" i="13" s="1"/>
  <c r="C125" i="13" s="1"/>
  <c r="B181" i="13"/>
  <c r="A182" i="13"/>
  <c r="G123" i="13"/>
  <c r="G124" i="13" l="1"/>
  <c r="D125" i="13"/>
  <c r="E125" i="13" s="1"/>
  <c r="F125" i="13" s="1"/>
  <c r="C126" i="13" s="1"/>
  <c r="B182" i="13"/>
  <c r="A183" i="13"/>
  <c r="G125" i="13" l="1"/>
  <c r="D126" i="13"/>
  <c r="E126" i="13" s="1"/>
  <c r="F126" i="13" s="1"/>
  <c r="C127" i="13" s="1"/>
  <c r="B183" i="13"/>
  <c r="A184" i="13"/>
  <c r="D127" i="13" l="1"/>
  <c r="E127" i="13" s="1"/>
  <c r="F127" i="13" s="1"/>
  <c r="C128" i="13" s="1"/>
  <c r="B184" i="13"/>
  <c r="A185" i="13"/>
  <c r="G126" i="13"/>
  <c r="G127" i="13" l="1"/>
  <c r="D128" i="13"/>
  <c r="E128" i="13" s="1"/>
  <c r="F128" i="13" s="1"/>
  <c r="C129" i="13" s="1"/>
  <c r="A186" i="13"/>
  <c r="B185" i="13"/>
  <c r="G128" i="13" l="1"/>
  <c r="D129" i="13"/>
  <c r="E129" i="13" s="1"/>
  <c r="F129" i="13" s="1"/>
  <c r="C130" i="13" s="1"/>
  <c r="A187" i="13"/>
  <c r="B186" i="13"/>
  <c r="G129" i="13" l="1"/>
  <c r="D130" i="13"/>
  <c r="E130" i="13" s="1"/>
  <c r="F130" i="13" s="1"/>
  <c r="C131" i="13" s="1"/>
  <c r="A188" i="13"/>
  <c r="B187" i="13"/>
  <c r="D131" i="13" l="1"/>
  <c r="E131" i="13" s="1"/>
  <c r="F131" i="13" s="1"/>
  <c r="C132" i="13" s="1"/>
  <c r="A189" i="13"/>
  <c r="B188" i="13"/>
  <c r="G130" i="13"/>
  <c r="G131" i="13" l="1"/>
  <c r="D132" i="13"/>
  <c r="E132" i="13" s="1"/>
  <c r="F132" i="13" s="1"/>
  <c r="C133" i="13" s="1"/>
  <c r="B189" i="13"/>
  <c r="A190" i="13"/>
  <c r="D133" i="13" l="1"/>
  <c r="E133" i="13" s="1"/>
  <c r="F133" i="13" s="1"/>
  <c r="C134" i="13" s="1"/>
  <c r="B190" i="13"/>
  <c r="A191" i="13"/>
  <c r="G132" i="13"/>
  <c r="D134" i="13" l="1"/>
  <c r="E134" i="13" s="1"/>
  <c r="F134" i="13" s="1"/>
  <c r="C135" i="13" s="1"/>
  <c r="B191" i="13"/>
  <c r="A192" i="13"/>
  <c r="G133" i="13"/>
  <c r="G134" i="13" l="1"/>
  <c r="D135" i="13"/>
  <c r="E135" i="13" s="1"/>
  <c r="F135" i="13" s="1"/>
  <c r="C136" i="13" s="1"/>
  <c r="B192" i="13"/>
  <c r="A193" i="13"/>
  <c r="G135" i="13" l="1"/>
  <c r="D136" i="13"/>
  <c r="E136" i="13" s="1"/>
  <c r="F136" i="13" s="1"/>
  <c r="C137" i="13" s="1"/>
  <c r="A194" i="13"/>
  <c r="B193" i="13"/>
  <c r="G136" i="13" l="1"/>
  <c r="D137" i="13"/>
  <c r="E137" i="13" s="1"/>
  <c r="F137" i="13" s="1"/>
  <c r="C138" i="13" s="1"/>
  <c r="A195" i="13"/>
  <c r="B194" i="13"/>
  <c r="G137" i="13" l="1"/>
  <c r="D138" i="13"/>
  <c r="E138" i="13" s="1"/>
  <c r="F138" i="13" s="1"/>
  <c r="C139" i="13" s="1"/>
  <c r="A196" i="13"/>
  <c r="B195" i="13"/>
  <c r="G138" i="13" l="1"/>
  <c r="D139" i="13"/>
  <c r="E139" i="13" s="1"/>
  <c r="F139" i="13" s="1"/>
  <c r="C140" i="13" s="1"/>
  <c r="A197" i="13"/>
  <c r="B196" i="13"/>
  <c r="G139" i="13" l="1"/>
  <c r="D140" i="13"/>
  <c r="E140" i="13" s="1"/>
  <c r="F140" i="13" s="1"/>
  <c r="C141" i="13" s="1"/>
  <c r="B197" i="13"/>
  <c r="A198" i="13"/>
  <c r="D141" i="13" l="1"/>
  <c r="E141" i="13" s="1"/>
  <c r="F141" i="13" s="1"/>
  <c r="C142" i="13" s="1"/>
  <c r="B198" i="13"/>
  <c r="A199" i="13"/>
  <c r="G140" i="13"/>
  <c r="G141" i="13" l="1"/>
  <c r="D142" i="13"/>
  <c r="E142" i="13" s="1"/>
  <c r="F142" i="13" s="1"/>
  <c r="C143" i="13" s="1"/>
  <c r="B199" i="13"/>
  <c r="A200" i="13"/>
  <c r="D143" i="13" l="1"/>
  <c r="E143" i="13" s="1"/>
  <c r="F143" i="13" s="1"/>
  <c r="C144" i="13" s="1"/>
  <c r="B200" i="13"/>
  <c r="A201" i="13"/>
  <c r="G142" i="13"/>
  <c r="D144" i="13" l="1"/>
  <c r="E144" i="13" s="1"/>
  <c r="F144" i="13" s="1"/>
  <c r="C145" i="13" s="1"/>
  <c r="G143" i="13"/>
  <c r="A202" i="13"/>
  <c r="B201" i="13"/>
  <c r="G144" i="13" l="1"/>
  <c r="D145" i="13"/>
  <c r="E145" i="13" s="1"/>
  <c r="F145" i="13" s="1"/>
  <c r="C146" i="13" s="1"/>
  <c r="A203" i="13"/>
  <c r="B202" i="13"/>
  <c r="G145" i="13" l="1"/>
  <c r="D146" i="13"/>
  <c r="E146" i="13" s="1"/>
  <c r="F146" i="13" s="1"/>
  <c r="C147" i="13" s="1"/>
  <c r="A204" i="13"/>
  <c r="B203" i="13"/>
  <c r="D147" i="13" l="1"/>
  <c r="E147" i="13" s="1"/>
  <c r="F147" i="13" s="1"/>
  <c r="C148" i="13" s="1"/>
  <c r="A205" i="13"/>
  <c r="B204" i="13"/>
  <c r="G146" i="13"/>
  <c r="G147" i="13" l="1"/>
  <c r="D148" i="13"/>
  <c r="E148" i="13" s="1"/>
  <c r="F148" i="13" s="1"/>
  <c r="C149" i="13" s="1"/>
  <c r="B205" i="13"/>
  <c r="A206" i="13"/>
  <c r="G148" i="13" l="1"/>
  <c r="D149" i="13"/>
  <c r="E149" i="13" s="1"/>
  <c r="F149" i="13" s="1"/>
  <c r="C150" i="13" s="1"/>
  <c r="B206" i="13"/>
  <c r="A207" i="13"/>
  <c r="D150" i="13" l="1"/>
  <c r="E150" i="13" s="1"/>
  <c r="F150" i="13" s="1"/>
  <c r="C151" i="13" s="1"/>
  <c r="B207" i="13"/>
  <c r="A208" i="13"/>
  <c r="G149" i="13"/>
  <c r="G150" i="13" l="1"/>
  <c r="D151" i="13"/>
  <c r="E151" i="13" s="1"/>
  <c r="F151" i="13" s="1"/>
  <c r="C152" i="13" s="1"/>
  <c r="B208" i="13"/>
  <c r="A209" i="13"/>
  <c r="G151" i="13" l="1"/>
  <c r="D152" i="13"/>
  <c r="E152" i="13" s="1"/>
  <c r="F152" i="13" s="1"/>
  <c r="C153" i="13" s="1"/>
  <c r="A210" i="13"/>
  <c r="B209" i="13"/>
  <c r="D153" i="13" l="1"/>
  <c r="E153" i="13" s="1"/>
  <c r="F153" i="13" s="1"/>
  <c r="C154" i="13" s="1"/>
  <c r="A211" i="13"/>
  <c r="B210" i="13"/>
  <c r="G152" i="13"/>
  <c r="G153" i="13" l="1"/>
  <c r="D154" i="13"/>
  <c r="E154" i="13" s="1"/>
  <c r="F154" i="13" s="1"/>
  <c r="C155" i="13" s="1"/>
  <c r="A212" i="13"/>
  <c r="B211" i="13"/>
  <c r="G154" i="13" l="1"/>
  <c r="D155" i="13"/>
  <c r="E155" i="13" s="1"/>
  <c r="F155" i="13" s="1"/>
  <c r="C156" i="13" s="1"/>
  <c r="A213" i="13"/>
  <c r="B212" i="13"/>
  <c r="G155" i="13" l="1"/>
  <c r="D156" i="13"/>
  <c r="E156" i="13" s="1"/>
  <c r="F156" i="13" s="1"/>
  <c r="C157" i="13" s="1"/>
  <c r="B213" i="13"/>
  <c r="A214" i="13"/>
  <c r="G156" i="13" l="1"/>
  <c r="D157" i="13"/>
  <c r="E157" i="13" s="1"/>
  <c r="F157" i="13" s="1"/>
  <c r="C158" i="13" s="1"/>
  <c r="B214" i="13"/>
  <c r="A215" i="13"/>
  <c r="D158" i="13" l="1"/>
  <c r="E158" i="13" s="1"/>
  <c r="F158" i="13" s="1"/>
  <c r="C159" i="13" s="1"/>
  <c r="B215" i="13"/>
  <c r="A216" i="13"/>
  <c r="G157" i="13"/>
  <c r="G158" i="13" l="1"/>
  <c r="D159" i="13"/>
  <c r="E159" i="13" s="1"/>
  <c r="F159" i="13" s="1"/>
  <c r="C160" i="13" s="1"/>
  <c r="B216" i="13"/>
  <c r="A217" i="13"/>
  <c r="G159" i="13" l="1"/>
  <c r="D160" i="13"/>
  <c r="E160" i="13" s="1"/>
  <c r="F160" i="13" s="1"/>
  <c r="C161" i="13" s="1"/>
  <c r="A218" i="13"/>
  <c r="B217" i="13"/>
  <c r="D161" i="13" l="1"/>
  <c r="E161" i="13" s="1"/>
  <c r="F161" i="13" s="1"/>
  <c r="C162" i="13" s="1"/>
  <c r="A219" i="13"/>
  <c r="B218" i="13"/>
  <c r="G160" i="13"/>
  <c r="G161" i="13" l="1"/>
  <c r="D162" i="13"/>
  <c r="E162" i="13" s="1"/>
  <c r="F162" i="13" s="1"/>
  <c r="C163" i="13" s="1"/>
  <c r="A220" i="13"/>
  <c r="B219" i="13"/>
  <c r="G162" i="13" l="1"/>
  <c r="D163" i="13"/>
  <c r="E163" i="13" s="1"/>
  <c r="F163" i="13" s="1"/>
  <c r="C164" i="13" s="1"/>
  <c r="A221" i="13"/>
  <c r="B220" i="13"/>
  <c r="G163" i="13" l="1"/>
  <c r="D164" i="13"/>
  <c r="E164" i="13" s="1"/>
  <c r="F164" i="13" s="1"/>
  <c r="C165" i="13" s="1"/>
  <c r="B221" i="13"/>
  <c r="A222" i="13"/>
  <c r="G164" i="13" l="1"/>
  <c r="D165" i="13"/>
  <c r="E165" i="13" s="1"/>
  <c r="F165" i="13" s="1"/>
  <c r="C166" i="13" s="1"/>
  <c r="B222" i="13"/>
  <c r="A223" i="13"/>
  <c r="G165" i="13" l="1"/>
  <c r="D166" i="13"/>
  <c r="E166" i="13" s="1"/>
  <c r="F166" i="13" s="1"/>
  <c r="C167" i="13" s="1"/>
  <c r="A224" i="13"/>
  <c r="B223" i="13"/>
  <c r="D167" i="13" l="1"/>
  <c r="E167" i="13" s="1"/>
  <c r="F167" i="13" s="1"/>
  <c r="C168" i="13" s="1"/>
  <c r="B224" i="13"/>
  <c r="A225" i="13"/>
  <c r="G166" i="13"/>
  <c r="G167" i="13" l="1"/>
  <c r="D168" i="13"/>
  <c r="E168" i="13" s="1"/>
  <c r="F168" i="13" s="1"/>
  <c r="C169" i="13" s="1"/>
  <c r="B225" i="13"/>
  <c r="A226" i="13"/>
  <c r="G168" i="13" l="1"/>
  <c r="D169" i="13"/>
  <c r="E169" i="13" s="1"/>
  <c r="F169" i="13" s="1"/>
  <c r="C170" i="13" s="1"/>
  <c r="B226" i="13"/>
  <c r="A227" i="13"/>
  <c r="D170" i="13" l="1"/>
  <c r="E170" i="13" s="1"/>
  <c r="F170" i="13" s="1"/>
  <c r="C171" i="13" s="1"/>
  <c r="B227" i="13"/>
  <c r="A228" i="13"/>
  <c r="G169" i="13"/>
  <c r="G170" i="13" l="1"/>
  <c r="D171" i="13"/>
  <c r="E171" i="13" s="1"/>
  <c r="F171" i="13" s="1"/>
  <c r="C172" i="13" s="1"/>
  <c r="A229" i="13"/>
  <c r="B228" i="13"/>
  <c r="G171" i="13" l="1"/>
  <c r="D172" i="13"/>
  <c r="E172" i="13" s="1"/>
  <c r="F172" i="13" s="1"/>
  <c r="C173" i="13" s="1"/>
  <c r="B229" i="13"/>
  <c r="A230" i="13"/>
  <c r="G172" i="13" l="1"/>
  <c r="D173" i="13"/>
  <c r="E173" i="13" s="1"/>
  <c r="F173" i="13" s="1"/>
  <c r="C174" i="13" s="1"/>
  <c r="A231" i="13"/>
  <c r="B230" i="13"/>
  <c r="G173" i="13" l="1"/>
  <c r="D174" i="13"/>
  <c r="E174" i="13" s="1"/>
  <c r="F174" i="13" s="1"/>
  <c r="C175" i="13" s="1"/>
  <c r="A232" i="13"/>
  <c r="B231" i="13"/>
  <c r="G174" i="13" l="1"/>
  <c r="D175" i="13"/>
  <c r="E175" i="13" s="1"/>
  <c r="F175" i="13" s="1"/>
  <c r="C176" i="13" s="1"/>
  <c r="B232" i="13"/>
  <c r="A233" i="13"/>
  <c r="D176" i="13" l="1"/>
  <c r="E176" i="13" s="1"/>
  <c r="F176" i="13" s="1"/>
  <c r="C177" i="13" s="1"/>
  <c r="B233" i="13"/>
  <c r="A234" i="13"/>
  <c r="G175" i="13"/>
  <c r="G176" i="13" l="1"/>
  <c r="D177" i="13"/>
  <c r="E177" i="13" s="1"/>
  <c r="F177" i="13" s="1"/>
  <c r="C178" i="13" s="1"/>
  <c r="B234" i="13"/>
  <c r="A235" i="13"/>
  <c r="G177" i="13" l="1"/>
  <c r="D178" i="13"/>
  <c r="E178" i="13" s="1"/>
  <c r="F178" i="13" s="1"/>
  <c r="C179" i="13" s="1"/>
  <c r="B235" i="13"/>
  <c r="A236" i="13"/>
  <c r="G178" i="13" l="1"/>
  <c r="D179" i="13"/>
  <c r="E179" i="13" s="1"/>
  <c r="F179" i="13" s="1"/>
  <c r="C180" i="13" s="1"/>
  <c r="A237" i="13"/>
  <c r="B236" i="13"/>
  <c r="G179" i="13" l="1"/>
  <c r="A238" i="13"/>
  <c r="B237" i="13"/>
  <c r="D180" i="13"/>
  <c r="E180" i="13" s="1"/>
  <c r="F180" i="13" s="1"/>
  <c r="C181" i="13" s="1"/>
  <c r="G180" i="13" l="1"/>
  <c r="D181" i="13"/>
  <c r="E181" i="13" s="1"/>
  <c r="F181" i="13" s="1"/>
  <c r="C182" i="13" s="1"/>
  <c r="A239" i="13"/>
  <c r="B238" i="13"/>
  <c r="G181" i="13" l="1"/>
  <c r="D182" i="13"/>
  <c r="E182" i="13" s="1"/>
  <c r="F182" i="13" s="1"/>
  <c r="C183" i="13" s="1"/>
  <c r="A240" i="13"/>
  <c r="B239" i="13"/>
  <c r="G182" i="13" l="1"/>
  <c r="D183" i="13"/>
  <c r="E183" i="13" s="1"/>
  <c r="F183" i="13" s="1"/>
  <c r="C184" i="13" s="1"/>
  <c r="B240" i="13"/>
  <c r="A241" i="13"/>
  <c r="G183" i="13" l="1"/>
  <c r="D184" i="13"/>
  <c r="E184" i="13" s="1"/>
  <c r="F184" i="13" s="1"/>
  <c r="C185" i="13" s="1"/>
  <c r="B241" i="13"/>
  <c r="A242" i="13"/>
  <c r="G184" i="13" l="1"/>
  <c r="D185" i="13"/>
  <c r="E185" i="13" s="1"/>
  <c r="F185" i="13" s="1"/>
  <c r="C186" i="13" s="1"/>
  <c r="B242" i="13"/>
  <c r="A243" i="13"/>
  <c r="G185" i="13" l="1"/>
  <c r="D186" i="13"/>
  <c r="E186" i="13" s="1"/>
  <c r="F186" i="13" s="1"/>
  <c r="C187" i="13" s="1"/>
  <c r="B243" i="13"/>
  <c r="A244" i="13"/>
  <c r="D187" i="13" l="1"/>
  <c r="E187" i="13" s="1"/>
  <c r="F187" i="13" s="1"/>
  <c r="C188" i="13" s="1"/>
  <c r="A245" i="13"/>
  <c r="B244" i="13"/>
  <c r="G186" i="13"/>
  <c r="D188" i="13" l="1"/>
  <c r="E188" i="13" s="1"/>
  <c r="F188" i="13" s="1"/>
  <c r="C189" i="13" s="1"/>
  <c r="A246" i="13"/>
  <c r="B245" i="13"/>
  <c r="G187" i="13"/>
  <c r="G188" i="13" l="1"/>
  <c r="D189" i="13"/>
  <c r="E189" i="13" s="1"/>
  <c r="F189" i="13" s="1"/>
  <c r="C190" i="13" s="1"/>
  <c r="A247" i="13"/>
  <c r="B246" i="13"/>
  <c r="G189" i="13" l="1"/>
  <c r="D190" i="13"/>
  <c r="E190" i="13" s="1"/>
  <c r="F190" i="13" s="1"/>
  <c r="C191" i="13" s="1"/>
  <c r="A248" i="13"/>
  <c r="B247" i="13"/>
  <c r="G190" i="13" l="1"/>
  <c r="D191" i="13"/>
  <c r="E191" i="13" s="1"/>
  <c r="F191" i="13" s="1"/>
  <c r="C192" i="13" s="1"/>
  <c r="B248" i="13"/>
  <c r="A249" i="13"/>
  <c r="D192" i="13" l="1"/>
  <c r="E192" i="13" s="1"/>
  <c r="F192" i="13" s="1"/>
  <c r="C193" i="13" s="1"/>
  <c r="B249" i="13"/>
  <c r="A250" i="13"/>
  <c r="G191" i="13"/>
  <c r="G192" i="13" l="1"/>
  <c r="D193" i="13"/>
  <c r="E193" i="13" s="1"/>
  <c r="F193" i="13" s="1"/>
  <c r="C194" i="13" s="1"/>
  <c r="B250" i="13"/>
  <c r="A251" i="13"/>
  <c r="G193" i="13" l="1"/>
  <c r="D194" i="13"/>
  <c r="E194" i="13" s="1"/>
  <c r="F194" i="13" s="1"/>
  <c r="C195" i="13" s="1"/>
  <c r="B251" i="13"/>
  <c r="A252" i="13"/>
  <c r="D195" i="13" l="1"/>
  <c r="E195" i="13" s="1"/>
  <c r="F195" i="13" s="1"/>
  <c r="C196" i="13" s="1"/>
  <c r="G194" i="13"/>
  <c r="A253" i="13"/>
  <c r="B252" i="13"/>
  <c r="G195" i="13" l="1"/>
  <c r="B253" i="13"/>
  <c r="A254" i="13"/>
  <c r="D196" i="13"/>
  <c r="E196" i="13" s="1"/>
  <c r="F196" i="13" s="1"/>
  <c r="C197" i="13" s="1"/>
  <c r="G196" i="13" l="1"/>
  <c r="A255" i="13"/>
  <c r="B254" i="13"/>
  <c r="D197" i="13"/>
  <c r="E197" i="13" s="1"/>
  <c r="F197" i="13" s="1"/>
  <c r="C198" i="13" s="1"/>
  <c r="D198" i="13" l="1"/>
  <c r="E198" i="13" s="1"/>
  <c r="F198" i="13" s="1"/>
  <c r="C199" i="13" s="1"/>
  <c r="A256" i="13"/>
  <c r="B255" i="13"/>
  <c r="G197" i="13"/>
  <c r="G198" i="13" l="1"/>
  <c r="D199" i="13"/>
  <c r="E199" i="13" s="1"/>
  <c r="F199" i="13" s="1"/>
  <c r="C200" i="13" s="1"/>
  <c r="B256" i="13"/>
  <c r="A257" i="13"/>
  <c r="D200" i="13" l="1"/>
  <c r="E200" i="13" s="1"/>
  <c r="F200" i="13" s="1"/>
  <c r="C201" i="13" s="1"/>
  <c r="B257" i="13"/>
  <c r="A258" i="13"/>
  <c r="G199" i="13"/>
  <c r="G200" i="13" l="1"/>
  <c r="D201" i="13"/>
  <c r="E201" i="13" s="1"/>
  <c r="F201" i="13" s="1"/>
  <c r="C202" i="13" s="1"/>
  <c r="B258" i="13"/>
  <c r="A259" i="13"/>
  <c r="D202" i="13" l="1"/>
  <c r="E202" i="13" s="1"/>
  <c r="F202" i="13" s="1"/>
  <c r="C203" i="13" s="1"/>
  <c r="B259" i="13"/>
  <c r="A260" i="13"/>
  <c r="G201" i="13"/>
  <c r="G202" i="13" l="1"/>
  <c r="D203" i="13"/>
  <c r="E203" i="13" s="1"/>
  <c r="F203" i="13" s="1"/>
  <c r="C204" i="13" s="1"/>
  <c r="A261" i="13"/>
  <c r="B260" i="13"/>
  <c r="G203" i="13" l="1"/>
  <c r="D204" i="13"/>
  <c r="E204" i="13" s="1"/>
  <c r="F204" i="13" s="1"/>
  <c r="C205" i="13" s="1"/>
  <c r="A262" i="13"/>
  <c r="B261" i="13"/>
  <c r="G204" i="13" l="1"/>
  <c r="D205" i="13"/>
  <c r="E205" i="13" s="1"/>
  <c r="F205" i="13" s="1"/>
  <c r="C206" i="13" s="1"/>
  <c r="A263" i="13"/>
  <c r="B262" i="13"/>
  <c r="G205" i="13" l="1"/>
  <c r="A264" i="13"/>
  <c r="B263" i="13"/>
  <c r="D206" i="13"/>
  <c r="E206" i="13" s="1"/>
  <c r="F206" i="13" s="1"/>
  <c r="C207" i="13" s="1"/>
  <c r="D207" i="13" l="1"/>
  <c r="E207" i="13" s="1"/>
  <c r="F207" i="13" s="1"/>
  <c r="C208" i="13" s="1"/>
  <c r="G206" i="13"/>
  <c r="B264" i="13"/>
  <c r="A265" i="13"/>
  <c r="G207" i="13" l="1"/>
  <c r="B265" i="13"/>
  <c r="A266" i="13"/>
  <c r="D208" i="13"/>
  <c r="E208" i="13" s="1"/>
  <c r="F208" i="13" s="1"/>
  <c r="C209" i="13" s="1"/>
  <c r="D209" i="13" l="1"/>
  <c r="E209" i="13" s="1"/>
  <c r="F209" i="13" s="1"/>
  <c r="C210" i="13" s="1"/>
  <c r="B266" i="13"/>
  <c r="A267" i="13"/>
  <c r="G208" i="13"/>
  <c r="G209" i="13" l="1"/>
  <c r="D210" i="13"/>
  <c r="E210" i="13" s="1"/>
  <c r="F210" i="13" s="1"/>
  <c r="C211" i="13" s="1"/>
  <c r="B267" i="13"/>
  <c r="A268" i="13"/>
  <c r="G210" i="13" l="1"/>
  <c r="D211" i="13"/>
  <c r="E211" i="13" s="1"/>
  <c r="F211" i="13" s="1"/>
  <c r="C212" i="13" s="1"/>
  <c r="A269" i="13"/>
  <c r="B268" i="13"/>
  <c r="D212" i="13" l="1"/>
  <c r="E212" i="13" s="1"/>
  <c r="F212" i="13" s="1"/>
  <c r="C213" i="13" s="1"/>
  <c r="B269" i="13"/>
  <c r="A270" i="13"/>
  <c r="G211" i="13"/>
  <c r="G212" i="13" l="1"/>
  <c r="D213" i="13"/>
  <c r="E213" i="13" s="1"/>
  <c r="F213" i="13" s="1"/>
  <c r="C214" i="13" s="1"/>
  <c r="A271" i="13"/>
  <c r="B270" i="13"/>
  <c r="G213" i="13" l="1"/>
  <c r="D214" i="13"/>
  <c r="E214" i="13" s="1"/>
  <c r="F214" i="13" s="1"/>
  <c r="C215" i="13" s="1"/>
  <c r="A272" i="13"/>
  <c r="B271" i="13"/>
  <c r="D215" i="13" l="1"/>
  <c r="E215" i="13" s="1"/>
  <c r="F215" i="13" s="1"/>
  <c r="C216" i="13" s="1"/>
  <c r="B272" i="13"/>
  <c r="A273" i="13"/>
  <c r="G214" i="13"/>
  <c r="G215" i="13" l="1"/>
  <c r="D216" i="13"/>
  <c r="E216" i="13" s="1"/>
  <c r="F216" i="13" s="1"/>
  <c r="C217" i="13" s="1"/>
  <c r="B273" i="13"/>
  <c r="A274" i="13"/>
  <c r="D217" i="13" l="1"/>
  <c r="E217" i="13" s="1"/>
  <c r="F217" i="13" s="1"/>
  <c r="C218" i="13" s="1"/>
  <c r="B274" i="13"/>
  <c r="A275" i="13"/>
  <c r="G216" i="13"/>
  <c r="G217" i="13" l="1"/>
  <c r="D218" i="13"/>
  <c r="E218" i="13" s="1"/>
  <c r="F218" i="13" s="1"/>
  <c r="C219" i="13" s="1"/>
  <c r="B275" i="13"/>
  <c r="A276" i="13"/>
  <c r="D219" i="13" l="1"/>
  <c r="E219" i="13" s="1"/>
  <c r="F219" i="13" s="1"/>
  <c r="C220" i="13" s="1"/>
  <c r="G218" i="13"/>
  <c r="B276" i="13"/>
  <c r="A277" i="13"/>
  <c r="G219" i="13" l="1"/>
  <c r="D220" i="13"/>
  <c r="E220" i="13" s="1"/>
  <c r="F220" i="13" s="1"/>
  <c r="C221" i="13" s="1"/>
  <c r="A278" i="13"/>
  <c r="B277" i="13"/>
  <c r="G220" i="13" l="1"/>
  <c r="D221" i="13"/>
  <c r="E221" i="13" s="1"/>
  <c r="F221" i="13" s="1"/>
  <c r="C222" i="13" s="1"/>
  <c r="A279" i="13"/>
  <c r="B278" i="13"/>
  <c r="D222" i="13" l="1"/>
  <c r="E222" i="13" s="1"/>
  <c r="F222" i="13" s="1"/>
  <c r="C223" i="13" s="1"/>
  <c r="A280" i="13"/>
  <c r="B279" i="13"/>
  <c r="G221" i="13"/>
  <c r="G222" i="13" l="1"/>
  <c r="D223" i="13"/>
  <c r="E223" i="13" s="1"/>
  <c r="F223" i="13" s="1"/>
  <c r="C224" i="13" s="1"/>
  <c r="B280" i="13"/>
  <c r="A281" i="13"/>
  <c r="G223" i="13" l="1"/>
  <c r="B281" i="13"/>
  <c r="A282" i="13"/>
  <c r="D224" i="13"/>
  <c r="E224" i="13" s="1"/>
  <c r="F224" i="13" s="1"/>
  <c r="C225" i="13" s="1"/>
  <c r="G224" i="13" l="1"/>
  <c r="D225" i="13"/>
  <c r="E225" i="13" s="1"/>
  <c r="F225" i="13" s="1"/>
  <c r="C226" i="13" s="1"/>
  <c r="B282" i="13"/>
  <c r="A283" i="13"/>
  <c r="D226" i="13" l="1"/>
  <c r="E226" i="13" s="1"/>
  <c r="F226" i="13" s="1"/>
  <c r="C227" i="13" s="1"/>
  <c r="B283" i="13"/>
  <c r="A284" i="13"/>
  <c r="G225" i="13"/>
  <c r="G226" i="13" l="1"/>
  <c r="B284" i="13"/>
  <c r="A285" i="13"/>
  <c r="D227" i="13"/>
  <c r="E227" i="13" s="1"/>
  <c r="F227" i="13" s="1"/>
  <c r="C228" i="13" s="1"/>
  <c r="D228" i="13" l="1"/>
  <c r="E228" i="13" s="1"/>
  <c r="F228" i="13" s="1"/>
  <c r="C229" i="13" s="1"/>
  <c r="A286" i="13"/>
  <c r="B285" i="13"/>
  <c r="G227" i="13"/>
  <c r="D229" i="13" l="1"/>
  <c r="E229" i="13" s="1"/>
  <c r="F229" i="13" s="1"/>
  <c r="C230" i="13" s="1"/>
  <c r="A287" i="13"/>
  <c r="B286" i="13"/>
  <c r="G228" i="13"/>
  <c r="G229" i="13" l="1"/>
  <c r="D230" i="13"/>
  <c r="E230" i="13" s="1"/>
  <c r="F230" i="13" s="1"/>
  <c r="C231" i="13" s="1"/>
  <c r="A288" i="13"/>
  <c r="B287" i="13"/>
  <c r="G230" i="13" l="1"/>
  <c r="B288" i="13"/>
  <c r="A289" i="13"/>
  <c r="D231" i="13"/>
  <c r="E231" i="13" s="1"/>
  <c r="F231" i="13" s="1"/>
  <c r="C232" i="13" s="1"/>
  <c r="G231" i="13" l="1"/>
  <c r="B289" i="13"/>
  <c r="A290" i="13"/>
  <c r="D232" i="13"/>
  <c r="E232" i="13" s="1"/>
  <c r="F232" i="13" s="1"/>
  <c r="C233" i="13" s="1"/>
  <c r="D233" i="13" l="1"/>
  <c r="E233" i="13" s="1"/>
  <c r="F233" i="13" s="1"/>
  <c r="C234" i="13" s="1"/>
  <c r="B290" i="13"/>
  <c r="A291" i="13"/>
  <c r="G232" i="13"/>
  <c r="G233" i="13" l="1"/>
  <c r="D234" i="13"/>
  <c r="E234" i="13" s="1"/>
  <c r="F234" i="13" s="1"/>
  <c r="C235" i="13" s="1"/>
  <c r="B291" i="13"/>
  <c r="A292" i="13"/>
  <c r="G234" i="13" l="1"/>
  <c r="B292" i="13"/>
  <c r="A293" i="13"/>
  <c r="D235" i="13"/>
  <c r="E235" i="13" s="1"/>
  <c r="F235" i="13" s="1"/>
  <c r="C236" i="13" s="1"/>
  <c r="G235" i="13" l="1"/>
  <c r="A294" i="13"/>
  <c r="B293" i="13"/>
  <c r="D236" i="13"/>
  <c r="E236" i="13" s="1"/>
  <c r="F236" i="13" s="1"/>
  <c r="C237" i="13" s="1"/>
  <c r="D237" i="13" l="1"/>
  <c r="E237" i="13" s="1"/>
  <c r="F237" i="13" s="1"/>
  <c r="C238" i="13" s="1"/>
  <c r="A295" i="13"/>
  <c r="B294" i="13"/>
  <c r="G236" i="13"/>
  <c r="G237" i="13" l="1"/>
  <c r="D238" i="13"/>
  <c r="E238" i="13" s="1"/>
  <c r="F238" i="13" s="1"/>
  <c r="C239" i="13" s="1"/>
  <c r="A296" i="13"/>
  <c r="B295" i="13"/>
  <c r="G238" i="13" l="1"/>
  <c r="D239" i="13"/>
  <c r="E239" i="13" s="1"/>
  <c r="F239" i="13" s="1"/>
  <c r="C240" i="13" s="1"/>
  <c r="B296" i="13"/>
  <c r="A297" i="13"/>
  <c r="G239" i="13" l="1"/>
  <c r="D240" i="13"/>
  <c r="E240" i="13" s="1"/>
  <c r="F240" i="13" s="1"/>
  <c r="C241" i="13" s="1"/>
  <c r="B297" i="13"/>
  <c r="A298" i="13"/>
  <c r="G240" i="13" l="1"/>
  <c r="D241" i="13"/>
  <c r="E241" i="13" s="1"/>
  <c r="F241" i="13" s="1"/>
  <c r="C242" i="13" s="1"/>
  <c r="B298" i="13"/>
  <c r="A299" i="13"/>
  <c r="G241" i="13" l="1"/>
  <c r="D242" i="13"/>
  <c r="E242" i="13" s="1"/>
  <c r="F242" i="13" s="1"/>
  <c r="C243" i="13" s="1"/>
  <c r="B299" i="13"/>
  <c r="A300" i="13"/>
  <c r="G242" i="13" l="1"/>
  <c r="D243" i="13"/>
  <c r="E243" i="13" s="1"/>
  <c r="F243" i="13" s="1"/>
  <c r="C244" i="13" s="1"/>
  <c r="B300" i="13"/>
  <c r="A301" i="13"/>
  <c r="G243" i="13" l="1"/>
  <c r="D244" i="13"/>
  <c r="E244" i="13" s="1"/>
  <c r="F244" i="13" s="1"/>
  <c r="C245" i="13" s="1"/>
  <c r="A302" i="13"/>
  <c r="B301" i="13"/>
  <c r="D245" i="13" l="1"/>
  <c r="E245" i="13" s="1"/>
  <c r="F245" i="13" s="1"/>
  <c r="C246" i="13" s="1"/>
  <c r="G244" i="13"/>
  <c r="A303" i="13"/>
  <c r="B302" i="13"/>
  <c r="D246" i="13" l="1"/>
  <c r="E246" i="13" s="1"/>
  <c r="F246" i="13" s="1"/>
  <c r="C247" i="13" s="1"/>
  <c r="A304" i="13"/>
  <c r="B303" i="13"/>
  <c r="G245" i="13"/>
  <c r="G246" i="13" l="1"/>
  <c r="D247" i="13"/>
  <c r="E247" i="13" s="1"/>
  <c r="F247" i="13" s="1"/>
  <c r="C248" i="13" s="1"/>
  <c r="B304" i="13"/>
  <c r="A305" i="13"/>
  <c r="D248" i="13" l="1"/>
  <c r="E248" i="13" s="1"/>
  <c r="F248" i="13" s="1"/>
  <c r="C249" i="13" s="1"/>
  <c r="B305" i="13"/>
  <c r="A306" i="13"/>
  <c r="G247" i="13"/>
  <c r="D249" i="13" l="1"/>
  <c r="E249" i="13" s="1"/>
  <c r="F249" i="13" s="1"/>
  <c r="C250" i="13" s="1"/>
  <c r="B306" i="13"/>
  <c r="A307" i="13"/>
  <c r="G248" i="13"/>
  <c r="D250" i="13" l="1"/>
  <c r="E250" i="13" s="1"/>
  <c r="F250" i="13" s="1"/>
  <c r="C251" i="13" s="1"/>
  <c r="B307" i="13"/>
  <c r="A308" i="13"/>
  <c r="G249" i="13"/>
  <c r="D251" i="13" l="1"/>
  <c r="E251" i="13" s="1"/>
  <c r="F251" i="13" s="1"/>
  <c r="C252" i="13" s="1"/>
  <c r="B308" i="13"/>
  <c r="A309" i="13"/>
  <c r="G250" i="13"/>
  <c r="G251" i="13" l="1"/>
  <c r="A310" i="13"/>
  <c r="B309" i="13"/>
  <c r="D252" i="13"/>
  <c r="E252" i="13" s="1"/>
  <c r="F252" i="13" s="1"/>
  <c r="C253" i="13" s="1"/>
  <c r="D253" i="13" l="1"/>
  <c r="E253" i="13" s="1"/>
  <c r="F253" i="13" s="1"/>
  <c r="C254" i="13" s="1"/>
  <c r="A311" i="13"/>
  <c r="B310" i="13"/>
  <c r="G252" i="13"/>
  <c r="G253" i="13" l="1"/>
  <c r="D254" i="13"/>
  <c r="E254" i="13" s="1"/>
  <c r="F254" i="13" s="1"/>
  <c r="C255" i="13" s="1"/>
  <c r="A312" i="13"/>
  <c r="B311" i="13"/>
  <c r="D255" i="13" l="1"/>
  <c r="E255" i="13" s="1"/>
  <c r="F255" i="13" s="1"/>
  <c r="C256" i="13" s="1"/>
  <c r="B312" i="13"/>
  <c r="A313" i="13"/>
  <c r="G254" i="13"/>
  <c r="G255" i="13" l="1"/>
  <c r="B313" i="13"/>
  <c r="A314" i="13"/>
  <c r="D256" i="13"/>
  <c r="E256" i="13" s="1"/>
  <c r="F256" i="13" s="1"/>
  <c r="C257" i="13" s="1"/>
  <c r="D257" i="13" l="1"/>
  <c r="E257" i="13" s="1"/>
  <c r="F257" i="13" s="1"/>
  <c r="C258" i="13" s="1"/>
  <c r="G256" i="13"/>
  <c r="B314" i="13"/>
  <c r="A315" i="13"/>
  <c r="D258" i="13" l="1"/>
  <c r="E258" i="13" s="1"/>
  <c r="F258" i="13" s="1"/>
  <c r="C259" i="13" s="1"/>
  <c r="B315" i="13"/>
  <c r="A316" i="13"/>
  <c r="G257" i="13"/>
  <c r="D259" i="13" l="1"/>
  <c r="E259" i="13" s="1"/>
  <c r="F259" i="13" s="1"/>
  <c r="C260" i="13" s="1"/>
  <c r="B316" i="13"/>
  <c r="A317" i="13"/>
  <c r="G258" i="13"/>
  <c r="G259" i="13" l="1"/>
  <c r="B317" i="13"/>
  <c r="A318" i="13"/>
  <c r="D260" i="13"/>
  <c r="E260" i="13" s="1"/>
  <c r="F260" i="13" s="1"/>
  <c r="C261" i="13" s="1"/>
  <c r="G260" i="13" l="1"/>
  <c r="D261" i="13"/>
  <c r="E261" i="13" s="1"/>
  <c r="F261" i="13" s="1"/>
  <c r="C262" i="13" s="1"/>
  <c r="A319" i="13"/>
  <c r="B318" i="13"/>
  <c r="G261" i="13" l="1"/>
  <c r="A320" i="13"/>
  <c r="B319" i="13"/>
  <c r="D262" i="13"/>
  <c r="E262" i="13" s="1"/>
  <c r="F262" i="13" s="1"/>
  <c r="C263" i="13" s="1"/>
  <c r="D263" i="13" l="1"/>
  <c r="E263" i="13" s="1"/>
  <c r="F263" i="13" s="1"/>
  <c r="C264" i="13" s="1"/>
  <c r="G262" i="13"/>
  <c r="B320" i="13"/>
  <c r="A321" i="13"/>
  <c r="G263" i="13" l="1"/>
  <c r="B321" i="13"/>
  <c r="A322" i="13"/>
  <c r="D264" i="13"/>
  <c r="E264" i="13" s="1"/>
  <c r="F264" i="13" s="1"/>
  <c r="C265" i="13" s="1"/>
  <c r="D265" i="13" l="1"/>
  <c r="E265" i="13" s="1"/>
  <c r="F265" i="13" s="1"/>
  <c r="C266" i="13" s="1"/>
  <c r="G264" i="13"/>
  <c r="B322" i="13"/>
  <c r="A323" i="13"/>
  <c r="D266" i="13" l="1"/>
  <c r="E266" i="13" s="1"/>
  <c r="F266" i="13" s="1"/>
  <c r="C267" i="13" s="1"/>
  <c r="B323" i="13"/>
  <c r="A324" i="13"/>
  <c r="G265" i="13"/>
  <c r="D267" i="13" l="1"/>
  <c r="E267" i="13" s="1"/>
  <c r="F267" i="13" s="1"/>
  <c r="C268" i="13" s="1"/>
  <c r="B324" i="13"/>
  <c r="A325" i="13"/>
  <c r="G266" i="13"/>
  <c r="G267" i="13" l="1"/>
  <c r="A326" i="13"/>
  <c r="B325" i="13"/>
  <c r="D268" i="13"/>
  <c r="E268" i="13" s="1"/>
  <c r="F268" i="13" s="1"/>
  <c r="C269" i="13" s="1"/>
  <c r="G268" i="13" l="1"/>
  <c r="A327" i="13"/>
  <c r="B326" i="13"/>
  <c r="D269" i="13"/>
  <c r="E269" i="13" s="1"/>
  <c r="F269" i="13" s="1"/>
  <c r="C270" i="13" s="1"/>
  <c r="D270" i="13" l="1"/>
  <c r="E270" i="13" s="1"/>
  <c r="F270" i="13" s="1"/>
  <c r="C271" i="13" s="1"/>
  <c r="G269" i="13"/>
  <c r="A328" i="13"/>
  <c r="B327" i="13"/>
  <c r="G270" i="13" l="1"/>
  <c r="D271" i="13"/>
  <c r="E271" i="13" s="1"/>
  <c r="F271" i="13" s="1"/>
  <c r="C272" i="13" s="1"/>
  <c r="B328" i="13"/>
  <c r="A329" i="13"/>
  <c r="G271" i="13" l="1"/>
  <c r="D272" i="13"/>
  <c r="E272" i="13" s="1"/>
  <c r="F272" i="13" s="1"/>
  <c r="C273" i="13" s="1"/>
  <c r="B329" i="13"/>
  <c r="A330" i="13"/>
  <c r="G272" i="13" l="1"/>
  <c r="D273" i="13"/>
  <c r="E273" i="13" s="1"/>
  <c r="F273" i="13" s="1"/>
  <c r="C274" i="13" s="1"/>
  <c r="B330" i="13"/>
  <c r="A331" i="13"/>
  <c r="D274" i="13" l="1"/>
  <c r="E274" i="13" s="1"/>
  <c r="F274" i="13" s="1"/>
  <c r="C275" i="13" s="1"/>
  <c r="B331" i="13"/>
  <c r="A332" i="13"/>
  <c r="G273" i="13"/>
  <c r="D275" i="13" l="1"/>
  <c r="E275" i="13" s="1"/>
  <c r="F275" i="13" s="1"/>
  <c r="C276" i="13" s="1"/>
  <c r="B332" i="13"/>
  <c r="A333" i="13"/>
  <c r="G274" i="13"/>
  <c r="G275" i="13" l="1"/>
  <c r="D276" i="13"/>
  <c r="E276" i="13" s="1"/>
  <c r="F276" i="13" s="1"/>
  <c r="C277" i="13" s="1"/>
  <c r="B333" i="13"/>
  <c r="A334" i="13"/>
  <c r="G276" i="13" l="1"/>
  <c r="D277" i="13"/>
  <c r="E277" i="13" s="1"/>
  <c r="F277" i="13" s="1"/>
  <c r="C278" i="13" s="1"/>
  <c r="A335" i="13"/>
  <c r="B334" i="13"/>
  <c r="D278" i="13" l="1"/>
  <c r="E278" i="13" s="1"/>
  <c r="F278" i="13" s="1"/>
  <c r="C279" i="13" s="1"/>
  <c r="A336" i="13"/>
  <c r="B335" i="13"/>
  <c r="G277" i="13"/>
  <c r="G278" i="13" l="1"/>
  <c r="D279" i="13"/>
  <c r="E279" i="13" s="1"/>
  <c r="F279" i="13" s="1"/>
  <c r="C280" i="13" s="1"/>
  <c r="B336" i="13"/>
  <c r="A337" i="13"/>
  <c r="D280" i="13" l="1"/>
  <c r="E280" i="13" s="1"/>
  <c r="F280" i="13" s="1"/>
  <c r="C281" i="13" s="1"/>
  <c r="B337" i="13"/>
  <c r="A338" i="13"/>
  <c r="G279" i="13"/>
  <c r="G280" i="13" l="1"/>
  <c r="B338" i="13"/>
  <c r="A339" i="13"/>
  <c r="D281" i="13"/>
  <c r="E281" i="13" s="1"/>
  <c r="F281" i="13" s="1"/>
  <c r="C282" i="13" s="1"/>
  <c r="D282" i="13" l="1"/>
  <c r="E282" i="13" s="1"/>
  <c r="F282" i="13" s="1"/>
  <c r="C283" i="13" s="1"/>
  <c r="G281" i="13"/>
  <c r="B339" i="13"/>
  <c r="A340" i="13"/>
  <c r="G282" i="13" l="1"/>
  <c r="D283" i="13"/>
  <c r="E283" i="13" s="1"/>
  <c r="F283" i="13" s="1"/>
  <c r="C284" i="13" s="1"/>
  <c r="B340" i="13"/>
  <c r="A341" i="13"/>
  <c r="G283" i="13" l="1"/>
  <c r="A342" i="13"/>
  <c r="B341" i="13"/>
  <c r="D284" i="13"/>
  <c r="E284" i="13" s="1"/>
  <c r="F284" i="13" s="1"/>
  <c r="C285" i="13" s="1"/>
  <c r="D285" i="13" l="1"/>
  <c r="E285" i="13" s="1"/>
  <c r="F285" i="13" s="1"/>
  <c r="C286" i="13" s="1"/>
  <c r="A343" i="13"/>
  <c r="B342" i="13"/>
  <c r="G284" i="13"/>
  <c r="G285" i="13" l="1"/>
  <c r="D286" i="13"/>
  <c r="E286" i="13" s="1"/>
  <c r="F286" i="13" s="1"/>
  <c r="C287" i="13" s="1"/>
  <c r="A344" i="13"/>
  <c r="B343" i="13"/>
  <c r="D287" i="13" l="1"/>
  <c r="E287" i="13" s="1"/>
  <c r="F287" i="13" s="1"/>
  <c r="C288" i="13" s="1"/>
  <c r="B344" i="13"/>
  <c r="A345" i="13"/>
  <c r="G286" i="13"/>
  <c r="G287" i="13" l="1"/>
  <c r="D288" i="13"/>
  <c r="E288" i="13" s="1"/>
  <c r="F288" i="13" s="1"/>
  <c r="C289" i="13" s="1"/>
  <c r="B345" i="13"/>
  <c r="A346" i="13"/>
  <c r="G288" i="13" l="1"/>
  <c r="D289" i="13"/>
  <c r="E289" i="13" s="1"/>
  <c r="F289" i="13" s="1"/>
  <c r="C290" i="13" s="1"/>
  <c r="B346" i="13"/>
  <c r="A347" i="13"/>
  <c r="G289" i="13" l="1"/>
  <c r="B347" i="13"/>
  <c r="A348" i="13"/>
  <c r="D290" i="13"/>
  <c r="E290" i="13" s="1"/>
  <c r="F290" i="13" s="1"/>
  <c r="C291" i="13" s="1"/>
  <c r="G290" i="13" l="1"/>
  <c r="D291" i="13"/>
  <c r="E291" i="13" s="1"/>
  <c r="F291" i="13" s="1"/>
  <c r="C292" i="13" s="1"/>
  <c r="B348" i="13"/>
  <c r="A349" i="13"/>
  <c r="G291" i="13" l="1"/>
  <c r="D292" i="13"/>
  <c r="E292" i="13" s="1"/>
  <c r="F292" i="13" s="1"/>
  <c r="C293" i="13" s="1"/>
  <c r="A350" i="13"/>
  <c r="B349" i="13"/>
  <c r="G292" i="13" l="1"/>
  <c r="A351" i="13"/>
  <c r="B350" i="13"/>
  <c r="D293" i="13"/>
  <c r="E293" i="13" s="1"/>
  <c r="F293" i="13" s="1"/>
  <c r="C294" i="13" s="1"/>
  <c r="G293" i="13" l="1"/>
  <c r="A352" i="13"/>
  <c r="B351" i="13"/>
  <c r="D294" i="13"/>
  <c r="E294" i="13" s="1"/>
  <c r="F294" i="13" s="1"/>
  <c r="C295" i="13" s="1"/>
  <c r="D295" i="13" l="1"/>
  <c r="E295" i="13" s="1"/>
  <c r="F295" i="13" s="1"/>
  <c r="C296" i="13" s="1"/>
  <c r="G294" i="13"/>
  <c r="B352" i="13"/>
  <c r="A353" i="13"/>
  <c r="G295" i="13" l="1"/>
  <c r="D296" i="13"/>
  <c r="E296" i="13" s="1"/>
  <c r="F296" i="13" s="1"/>
  <c r="C297" i="13" s="1"/>
  <c r="B353" i="13"/>
  <c r="A354" i="13"/>
  <c r="D297" i="13" l="1"/>
  <c r="E297" i="13" s="1"/>
  <c r="F297" i="13" s="1"/>
  <c r="C298" i="13" s="1"/>
  <c r="G296" i="13"/>
  <c r="B354" i="13"/>
  <c r="A355" i="13"/>
  <c r="G297" i="13" l="1"/>
  <c r="D298" i="13"/>
  <c r="E298" i="13" s="1"/>
  <c r="F298" i="13" s="1"/>
  <c r="C299" i="13" s="1"/>
  <c r="B355" i="13"/>
  <c r="A356" i="13"/>
  <c r="D299" i="13" l="1"/>
  <c r="E299" i="13" s="1"/>
  <c r="F299" i="13" s="1"/>
  <c r="C300" i="13" s="1"/>
  <c r="B356" i="13"/>
  <c r="A357" i="13"/>
  <c r="G298" i="13"/>
  <c r="D300" i="13" l="1"/>
  <c r="E300" i="13" s="1"/>
  <c r="F300" i="13" s="1"/>
  <c r="C301" i="13" s="1"/>
  <c r="A358" i="13"/>
  <c r="B357" i="13"/>
  <c r="G299" i="13"/>
  <c r="G300" i="13" l="1"/>
  <c r="D301" i="13"/>
  <c r="E301" i="13" s="1"/>
  <c r="F301" i="13" s="1"/>
  <c r="C302" i="13" s="1"/>
  <c r="A359" i="13"/>
  <c r="B358" i="13"/>
  <c r="D302" i="13" l="1"/>
  <c r="E302" i="13" s="1"/>
  <c r="F302" i="13" s="1"/>
  <c r="C303" i="13" s="1"/>
  <c r="A360" i="13"/>
  <c r="B359" i="13"/>
  <c r="G301" i="13"/>
  <c r="G302" i="13" l="1"/>
  <c r="B360" i="13"/>
  <c r="A361" i="13"/>
  <c r="D303" i="13"/>
  <c r="E303" i="13" s="1"/>
  <c r="F303" i="13" s="1"/>
  <c r="C304" i="13" s="1"/>
  <c r="G303" i="13" l="1"/>
  <c r="D304" i="13"/>
  <c r="E304" i="13" s="1"/>
  <c r="F304" i="13" s="1"/>
  <c r="C305" i="13" s="1"/>
  <c r="B361" i="13"/>
  <c r="A362" i="13"/>
  <c r="G304" i="13" l="1"/>
  <c r="D305" i="13"/>
  <c r="E305" i="13" s="1"/>
  <c r="F305" i="13" s="1"/>
  <c r="C306" i="13" s="1"/>
  <c r="B362" i="13"/>
  <c r="A363" i="13"/>
  <c r="D306" i="13" l="1"/>
  <c r="E306" i="13" s="1"/>
  <c r="F306" i="13" s="1"/>
  <c r="C307" i="13" s="1"/>
  <c r="B363" i="13"/>
  <c r="A364" i="13"/>
  <c r="G305" i="13"/>
  <c r="G306" i="13" l="1"/>
  <c r="D307" i="13"/>
  <c r="E307" i="13" s="1"/>
  <c r="F307" i="13" s="1"/>
  <c r="C308" i="13" s="1"/>
  <c r="B364" i="13"/>
  <c r="A365" i="13"/>
  <c r="D308" i="13" l="1"/>
  <c r="E308" i="13" s="1"/>
  <c r="F308" i="13" s="1"/>
  <c r="C309" i="13" s="1"/>
  <c r="A366" i="13"/>
  <c r="B365" i="13"/>
  <c r="G307" i="13"/>
  <c r="G308" i="13" l="1"/>
  <c r="D309" i="13"/>
  <c r="E309" i="13" s="1"/>
  <c r="F309" i="13" s="1"/>
  <c r="C310" i="13" s="1"/>
  <c r="A367" i="13"/>
  <c r="B366" i="13"/>
  <c r="D310" i="13" l="1"/>
  <c r="E310" i="13" s="1"/>
  <c r="F310" i="13" s="1"/>
  <c r="C311" i="13" s="1"/>
  <c r="A368" i="13"/>
  <c r="B367" i="13"/>
  <c r="G309" i="13"/>
  <c r="G310" i="13" l="1"/>
  <c r="D311" i="13"/>
  <c r="E311" i="13" s="1"/>
  <c r="F311" i="13" s="1"/>
  <c r="C312" i="13" s="1"/>
  <c r="B368" i="13"/>
  <c r="A369" i="13"/>
  <c r="D312" i="13" l="1"/>
  <c r="E312" i="13" s="1"/>
  <c r="F312" i="13" s="1"/>
  <c r="C313" i="13" s="1"/>
  <c r="B369" i="13"/>
  <c r="A370" i="13"/>
  <c r="G311" i="13"/>
  <c r="D313" i="13" l="1"/>
  <c r="E313" i="13" s="1"/>
  <c r="F313" i="13" s="1"/>
  <c r="C314" i="13" s="1"/>
  <c r="B370" i="13"/>
  <c r="A371" i="13"/>
  <c r="G312" i="13"/>
  <c r="G313" i="13" l="1"/>
  <c r="D314" i="13"/>
  <c r="E314" i="13" s="1"/>
  <c r="F314" i="13" s="1"/>
  <c r="C315" i="13" s="1"/>
  <c r="B371" i="13"/>
  <c r="A372" i="13"/>
  <c r="D315" i="13" l="1"/>
  <c r="E315" i="13" s="1"/>
  <c r="F315" i="13" s="1"/>
  <c r="C316" i="13" s="1"/>
  <c r="B372" i="13"/>
  <c r="A373" i="13"/>
  <c r="G314" i="13"/>
  <c r="G315" i="13" l="1"/>
  <c r="D316" i="13"/>
  <c r="E316" i="13" s="1"/>
  <c r="F316" i="13" s="1"/>
  <c r="C317" i="13" s="1"/>
  <c r="A374" i="13"/>
  <c r="B373" i="13"/>
  <c r="G316" i="13" l="1"/>
  <c r="D317" i="13"/>
  <c r="E317" i="13" s="1"/>
  <c r="F317" i="13" s="1"/>
  <c r="C318" i="13" s="1"/>
  <c r="A375" i="13"/>
  <c r="B374" i="13"/>
  <c r="D318" i="13" l="1"/>
  <c r="E318" i="13" s="1"/>
  <c r="F318" i="13" s="1"/>
  <c r="C319" i="13" s="1"/>
  <c r="A376" i="13"/>
  <c r="B375" i="13"/>
  <c r="G317" i="13"/>
  <c r="G318" i="13" l="1"/>
  <c r="D319" i="13"/>
  <c r="E319" i="13" s="1"/>
  <c r="F319" i="13" s="1"/>
  <c r="C320" i="13" s="1"/>
  <c r="B376" i="13"/>
  <c r="A377" i="13"/>
  <c r="G319" i="13" l="1"/>
  <c r="D320" i="13"/>
  <c r="E320" i="13" s="1"/>
  <c r="F320" i="13" s="1"/>
  <c r="C321" i="13" s="1"/>
  <c r="B377" i="13"/>
  <c r="A378" i="13"/>
  <c r="D321" i="13" l="1"/>
  <c r="E321" i="13" s="1"/>
  <c r="F321" i="13" s="1"/>
  <c r="C322" i="13" s="1"/>
  <c r="B378" i="13"/>
  <c r="A379" i="13"/>
  <c r="G320" i="13"/>
  <c r="G321" i="13" l="1"/>
  <c r="D322" i="13"/>
  <c r="E322" i="13" s="1"/>
  <c r="F322" i="13" s="1"/>
  <c r="C323" i="13" s="1"/>
  <c r="B379" i="13"/>
  <c r="A380" i="13"/>
  <c r="G322" i="13" l="1"/>
  <c r="D323" i="13"/>
  <c r="E323" i="13" s="1"/>
  <c r="F323" i="13" s="1"/>
  <c r="C324" i="13" s="1"/>
  <c r="B380" i="13"/>
  <c r="A381" i="13"/>
  <c r="G323" i="13" l="1"/>
  <c r="D324" i="13"/>
  <c r="E324" i="13" s="1"/>
  <c r="F324" i="13" s="1"/>
  <c r="C325" i="13" s="1"/>
  <c r="B381" i="13"/>
  <c r="D325" i="13" l="1"/>
  <c r="E325" i="13" s="1"/>
  <c r="F325" i="13" s="1"/>
  <c r="C326" i="13" s="1"/>
  <c r="G324" i="13"/>
  <c r="G325" i="13" l="1"/>
  <c r="D326" i="13"/>
  <c r="E326" i="13" s="1"/>
  <c r="F326" i="13" s="1"/>
  <c r="C327" i="13" s="1"/>
  <c r="G326" i="13" l="1"/>
  <c r="D327" i="13"/>
  <c r="E327" i="13" s="1"/>
  <c r="F327" i="13" s="1"/>
  <c r="C328" i="13" s="1"/>
  <c r="D328" i="13" l="1"/>
  <c r="E328" i="13" s="1"/>
  <c r="F328" i="13" s="1"/>
  <c r="C329" i="13" s="1"/>
  <c r="G327" i="13"/>
  <c r="D329" i="13" l="1"/>
  <c r="E329" i="13" s="1"/>
  <c r="F329" i="13" s="1"/>
  <c r="C330" i="13" s="1"/>
  <c r="G328" i="13"/>
  <c r="G329" i="13" l="1"/>
  <c r="D330" i="13"/>
  <c r="E330" i="13" s="1"/>
  <c r="F330" i="13" s="1"/>
  <c r="C331" i="13" s="1"/>
  <c r="D331" i="13" l="1"/>
  <c r="E331" i="13" s="1"/>
  <c r="F331" i="13" s="1"/>
  <c r="C332" i="13" s="1"/>
  <c r="G330" i="13"/>
  <c r="G331" i="13" l="1"/>
  <c r="D332" i="13"/>
  <c r="E332" i="13" s="1"/>
  <c r="F332" i="13" s="1"/>
  <c r="C333" i="13" s="1"/>
  <c r="D333" i="13" l="1"/>
  <c r="E333" i="13" s="1"/>
  <c r="F333" i="13" s="1"/>
  <c r="C334" i="13" s="1"/>
  <c r="G332" i="13"/>
  <c r="G333" i="13" l="1"/>
  <c r="D334" i="13"/>
  <c r="E334" i="13" s="1"/>
  <c r="F334" i="13" s="1"/>
  <c r="C335" i="13" s="1"/>
  <c r="D335" i="13" l="1"/>
  <c r="E335" i="13" s="1"/>
  <c r="F335" i="13" s="1"/>
  <c r="C336" i="13" s="1"/>
  <c r="G334" i="13"/>
  <c r="D336" i="13" l="1"/>
  <c r="E336" i="13" s="1"/>
  <c r="F336" i="13" s="1"/>
  <c r="C337" i="13" s="1"/>
  <c r="G335" i="13"/>
  <c r="D337" i="13" l="1"/>
  <c r="E337" i="13" s="1"/>
  <c r="F337" i="13" s="1"/>
  <c r="C338" i="13" s="1"/>
  <c r="G336" i="13"/>
  <c r="G337" i="13" l="1"/>
  <c r="D338" i="13"/>
  <c r="E338" i="13" s="1"/>
  <c r="F338" i="13" s="1"/>
  <c r="C339" i="13" s="1"/>
  <c r="D339" i="13" l="1"/>
  <c r="E339" i="13" s="1"/>
  <c r="F339" i="13" s="1"/>
  <c r="C340" i="13" s="1"/>
  <c r="G338" i="13"/>
  <c r="G339" i="13" l="1"/>
  <c r="D340" i="13"/>
  <c r="E340" i="13" s="1"/>
  <c r="F340" i="13" s="1"/>
  <c r="C341" i="13" s="1"/>
  <c r="G340" i="13" l="1"/>
  <c r="D341" i="13"/>
  <c r="E341" i="13" s="1"/>
  <c r="F341" i="13" s="1"/>
  <c r="C342" i="13" s="1"/>
  <c r="G341" i="13" l="1"/>
  <c r="D342" i="13"/>
  <c r="E342" i="13" s="1"/>
  <c r="F342" i="13" s="1"/>
  <c r="C343" i="13" s="1"/>
  <c r="G342" i="13" l="1"/>
  <c r="D343" i="13"/>
  <c r="E343" i="13" s="1"/>
  <c r="F343" i="13" s="1"/>
  <c r="C344" i="13" s="1"/>
  <c r="G343" i="13" l="1"/>
  <c r="D344" i="13"/>
  <c r="E344" i="13" s="1"/>
  <c r="F344" i="13" s="1"/>
  <c r="C345" i="13" s="1"/>
  <c r="G344" i="13" l="1"/>
  <c r="D345" i="13"/>
  <c r="E345" i="13" s="1"/>
  <c r="F345" i="13" s="1"/>
  <c r="C346" i="13" s="1"/>
  <c r="D346" i="13" l="1"/>
  <c r="E346" i="13" s="1"/>
  <c r="F346" i="13" s="1"/>
  <c r="C347" i="13" s="1"/>
  <c r="G345" i="13"/>
  <c r="G346" i="13" l="1"/>
  <c r="D347" i="13"/>
  <c r="E347" i="13" s="1"/>
  <c r="F347" i="13" s="1"/>
  <c r="C348" i="13" s="1"/>
  <c r="G347" i="13" l="1"/>
  <c r="D348" i="13"/>
  <c r="E348" i="13" s="1"/>
  <c r="F348" i="13" s="1"/>
  <c r="C349" i="13" s="1"/>
  <c r="D349" i="13" l="1"/>
  <c r="E349" i="13" s="1"/>
  <c r="F349" i="13" s="1"/>
  <c r="C350" i="13" s="1"/>
  <c r="G348" i="13"/>
  <c r="D350" i="13" l="1"/>
  <c r="E350" i="13" s="1"/>
  <c r="F350" i="13" s="1"/>
  <c r="C351" i="13" s="1"/>
  <c r="G349" i="13"/>
  <c r="D351" i="13" l="1"/>
  <c r="E351" i="13" s="1"/>
  <c r="F351" i="13" s="1"/>
  <c r="C352" i="13" s="1"/>
  <c r="G350" i="13"/>
  <c r="G351" i="13" l="1"/>
  <c r="D352" i="13"/>
  <c r="E352" i="13" s="1"/>
  <c r="F352" i="13" s="1"/>
  <c r="C353" i="13" s="1"/>
  <c r="G352" i="13" l="1"/>
  <c r="D353" i="13"/>
  <c r="E353" i="13" s="1"/>
  <c r="F353" i="13" s="1"/>
  <c r="C354" i="13" s="1"/>
  <c r="G353" i="13" l="1"/>
  <c r="D354" i="13"/>
  <c r="E354" i="13" s="1"/>
  <c r="F354" i="13" s="1"/>
  <c r="C355" i="13" s="1"/>
  <c r="G354" i="13" l="1"/>
  <c r="D355" i="13"/>
  <c r="E355" i="13" s="1"/>
  <c r="F355" i="13" s="1"/>
  <c r="C356" i="13" s="1"/>
  <c r="D356" i="13" l="1"/>
  <c r="E356" i="13" s="1"/>
  <c r="F356" i="13" s="1"/>
  <c r="C357" i="13" s="1"/>
  <c r="G355" i="13"/>
  <c r="G356" i="13" l="1"/>
  <c r="D357" i="13"/>
  <c r="E357" i="13" s="1"/>
  <c r="F357" i="13" s="1"/>
  <c r="C358" i="13" s="1"/>
  <c r="D358" i="13" l="1"/>
  <c r="E358" i="13" s="1"/>
  <c r="F358" i="13" s="1"/>
  <c r="C359" i="13" s="1"/>
  <c r="G357" i="13"/>
  <c r="G358" i="13" l="1"/>
  <c r="D359" i="13"/>
  <c r="E359" i="13" s="1"/>
  <c r="F359" i="13" s="1"/>
  <c r="C360" i="13" s="1"/>
  <c r="D360" i="13" l="1"/>
  <c r="E360" i="13" s="1"/>
  <c r="F360" i="13" s="1"/>
  <c r="C361" i="13" s="1"/>
  <c r="G359" i="13"/>
  <c r="G360" i="13" l="1"/>
  <c r="D361" i="13"/>
  <c r="E361" i="13" s="1"/>
  <c r="F361" i="13" s="1"/>
  <c r="C362" i="13" s="1"/>
  <c r="G361" i="13" l="1"/>
  <c r="D362" i="13"/>
  <c r="E362" i="13" s="1"/>
  <c r="F362" i="13" s="1"/>
  <c r="C363" i="13" s="1"/>
  <c r="G362" i="13" l="1"/>
  <c r="D363" i="13"/>
  <c r="E363" i="13" s="1"/>
  <c r="F363" i="13" s="1"/>
  <c r="C364" i="13" s="1"/>
  <c r="D364" i="13" l="1"/>
  <c r="E364" i="13" s="1"/>
  <c r="F364" i="13" s="1"/>
  <c r="C365" i="13" s="1"/>
  <c r="G363" i="13"/>
  <c r="G364" i="13" l="1"/>
  <c r="D365" i="13"/>
  <c r="E365" i="13" s="1"/>
  <c r="F365" i="13" s="1"/>
  <c r="C366" i="13" s="1"/>
  <c r="D366" i="13" l="1"/>
  <c r="E366" i="13" s="1"/>
  <c r="F366" i="13" s="1"/>
  <c r="C367" i="13" s="1"/>
  <c r="G365" i="13"/>
  <c r="D367" i="13" l="1"/>
  <c r="E367" i="13" s="1"/>
  <c r="F367" i="13" s="1"/>
  <c r="C368" i="13" s="1"/>
  <c r="G366" i="13"/>
  <c r="D368" i="13" l="1"/>
  <c r="E368" i="13" s="1"/>
  <c r="F368" i="13" s="1"/>
  <c r="C369" i="13" s="1"/>
  <c r="G367" i="13"/>
  <c r="D369" i="13" l="1"/>
  <c r="E369" i="13" s="1"/>
  <c r="F369" i="13" s="1"/>
  <c r="C370" i="13" s="1"/>
  <c r="G368" i="13"/>
  <c r="G369" i="13" l="1"/>
  <c r="D370" i="13"/>
  <c r="E370" i="13" s="1"/>
  <c r="F370" i="13" s="1"/>
  <c r="C371" i="13" s="1"/>
  <c r="D371" i="13" l="1"/>
  <c r="E371" i="13" s="1"/>
  <c r="F371" i="13" s="1"/>
  <c r="C372" i="13" s="1"/>
  <c r="G370" i="13"/>
  <c r="D372" i="13" l="1"/>
  <c r="E372" i="13" s="1"/>
  <c r="F372" i="13" s="1"/>
  <c r="C373" i="13" s="1"/>
  <c r="G371" i="13"/>
  <c r="G372" i="13" l="1"/>
  <c r="D373" i="13"/>
  <c r="E373" i="13" s="1"/>
  <c r="F373" i="13" s="1"/>
  <c r="C374" i="13" s="1"/>
  <c r="G373" i="13" l="1"/>
  <c r="D374" i="13"/>
  <c r="E374" i="13" s="1"/>
  <c r="F374" i="13" s="1"/>
  <c r="C375" i="13" s="1"/>
  <c r="G374" i="13" l="1"/>
  <c r="D375" i="13"/>
  <c r="E375" i="13" s="1"/>
  <c r="F375" i="13" s="1"/>
  <c r="C376" i="13" s="1"/>
  <c r="G375" i="13" l="1"/>
  <c r="D376" i="13"/>
  <c r="E376" i="13" s="1"/>
  <c r="F376" i="13" s="1"/>
  <c r="C377" i="13" s="1"/>
  <c r="G376" i="13" l="1"/>
  <c r="D377" i="13"/>
  <c r="E377" i="13" s="1"/>
  <c r="F377" i="13" s="1"/>
  <c r="C378" i="13" s="1"/>
  <c r="D378" i="13" l="1"/>
  <c r="E378" i="13" s="1"/>
  <c r="F378" i="13" s="1"/>
  <c r="C379" i="13" s="1"/>
  <c r="G377" i="13"/>
  <c r="G378" i="13" l="1"/>
  <c r="D379" i="13"/>
  <c r="E379" i="13" s="1"/>
  <c r="F379" i="13" s="1"/>
  <c r="C380" i="13" s="1"/>
  <c r="D380" i="13" l="1"/>
  <c r="E380" i="13" s="1"/>
  <c r="F380" i="13" s="1"/>
  <c r="C381" i="13" s="1"/>
  <c r="G379" i="13"/>
  <c r="D381" i="13" l="1"/>
  <c r="E381" i="13" s="1"/>
  <c r="F381" i="13" s="1"/>
  <c r="G380" i="13"/>
  <c r="G381" i="13" l="1"/>
  <c r="H12" i="1" l="1"/>
  <c r="H16" i="1" l="1"/>
  <c r="R12" i="1"/>
  <c r="R16" i="1" s="1"/>
  <c r="H19" i="1"/>
  <c r="R19" i="1" s="1"/>
  <c r="J4" i="1" l="1"/>
  <c r="N35" i="9"/>
  <c r="O35" i="9" s="1"/>
  <c r="K35" i="9"/>
  <c r="J8" i="9"/>
  <c r="L8" i="9" s="1"/>
  <c r="J9" i="9"/>
  <c r="L9" i="9" s="1"/>
  <c r="J10" i="9"/>
  <c r="L10" i="9" s="1"/>
  <c r="J11" i="9"/>
  <c r="L11" i="9" s="1"/>
  <c r="J12" i="9"/>
  <c r="L12" i="9" s="1"/>
  <c r="J13" i="9"/>
  <c r="L13" i="9" s="1"/>
  <c r="J14" i="9"/>
  <c r="L14" i="9" s="1"/>
  <c r="J15" i="9"/>
  <c r="L15" i="9" s="1"/>
  <c r="J16" i="9"/>
  <c r="L16" i="9" s="1"/>
  <c r="J17" i="9"/>
  <c r="L17" i="9" s="1"/>
  <c r="J18" i="9"/>
  <c r="L18" i="9" s="1"/>
  <c r="J19" i="9"/>
  <c r="L19" i="9" s="1"/>
  <c r="J20" i="9"/>
  <c r="L20" i="9" s="1"/>
  <c r="J21" i="9"/>
  <c r="L21" i="9" s="1"/>
  <c r="J22" i="9"/>
  <c r="L22" i="9" s="1"/>
  <c r="J23" i="9"/>
  <c r="L23" i="9" s="1"/>
  <c r="J24" i="9"/>
  <c r="L24" i="9" s="1"/>
  <c r="J25" i="9"/>
  <c r="L25" i="9" s="1"/>
  <c r="J26" i="9"/>
  <c r="L26" i="9" s="1"/>
  <c r="J27" i="9"/>
  <c r="L27" i="9" s="1"/>
  <c r="J28" i="9"/>
  <c r="L28" i="9" s="1"/>
  <c r="J29" i="9"/>
  <c r="L29" i="9" s="1"/>
  <c r="J30" i="9"/>
  <c r="L30" i="9" s="1"/>
  <c r="J31" i="9"/>
  <c r="L31" i="9" s="1"/>
  <c r="J32" i="9"/>
  <c r="L32" i="9" s="1"/>
  <c r="J33" i="9"/>
  <c r="L33" i="9" s="1"/>
  <c r="J34" i="9"/>
  <c r="L34" i="9" s="1"/>
  <c r="J35" i="9"/>
  <c r="L35" i="9" s="1"/>
  <c r="J36" i="9"/>
  <c r="L36" i="9" s="1"/>
  <c r="O36" i="9" s="1"/>
  <c r="J37" i="9"/>
  <c r="L37" i="9" s="1"/>
  <c r="J38" i="9"/>
  <c r="L38" i="9" s="1"/>
  <c r="J39" i="9"/>
  <c r="L39" i="9" s="1"/>
  <c r="J40" i="9"/>
  <c r="L40" i="9" s="1"/>
  <c r="O37" i="9" s="1"/>
  <c r="J41" i="9"/>
  <c r="L41" i="9" s="1"/>
  <c r="J42" i="9"/>
  <c r="L42" i="9" s="1"/>
  <c r="J7" i="9"/>
  <c r="L7" i="9" s="1"/>
  <c r="G32" i="1" l="1"/>
  <c r="G24" i="1" l="1"/>
  <c r="G23" i="1"/>
  <c r="G25" i="1" l="1"/>
  <c r="D7" i="4" l="1"/>
  <c r="H23" i="1"/>
  <c r="K8" i="1"/>
  <c r="L8" i="1" s="1"/>
  <c r="M8" i="1" s="1"/>
  <c r="N8" i="1" s="1"/>
  <c r="O8" i="1" s="1"/>
  <c r="P8" i="1" s="1"/>
  <c r="I7" i="1"/>
  <c r="J7" i="1" s="1"/>
  <c r="K7" i="1" s="1"/>
  <c r="L7" i="1" s="1"/>
  <c r="M7" i="1" s="1"/>
  <c r="N7" i="1" s="1"/>
  <c r="O7" i="1" s="1"/>
  <c r="P7" i="1" s="1"/>
  <c r="I23" i="1" l="1"/>
  <c r="J23" i="1" s="1"/>
  <c r="K23" i="1" s="1"/>
  <c r="L23" i="1" s="1"/>
  <c r="M23" i="1" s="1"/>
  <c r="N23" i="1" s="1"/>
  <c r="O23" i="1" s="1"/>
  <c r="P23" i="1" s="1"/>
  <c r="H33" i="1" l="1"/>
  <c r="I33" i="1" s="1"/>
  <c r="J33" i="1" s="1"/>
  <c r="K33" i="1" s="1"/>
  <c r="L33" i="1" s="1"/>
  <c r="M33" i="1" s="1"/>
  <c r="N33" i="1" s="1"/>
  <c r="O33" i="1" s="1"/>
  <c r="P33" i="1" s="1"/>
  <c r="G37" i="1" l="1"/>
  <c r="G34" i="1" l="1"/>
  <c r="H34" i="1" s="1"/>
  <c r="I34" i="1" s="1"/>
  <c r="J34" i="1" s="1"/>
  <c r="K34" i="1" s="1"/>
  <c r="L34" i="1" s="1"/>
  <c r="M34" i="1" s="1"/>
  <c r="N34" i="1" s="1"/>
  <c r="O34" i="1" s="1"/>
  <c r="P34" i="1" s="1"/>
  <c r="H32" i="1" l="1"/>
  <c r="I32" i="1" s="1"/>
  <c r="J32" i="1" s="1"/>
  <c r="K32" i="1" s="1"/>
  <c r="L32" i="1" s="1"/>
  <c r="M32" i="1" s="1"/>
  <c r="N32" i="1" s="1"/>
  <c r="O32" i="1" s="1"/>
  <c r="P32" i="1" s="1"/>
  <c r="J6" i="1" l="1"/>
  <c r="K6" i="1" s="1"/>
  <c r="L6" i="1" s="1"/>
  <c r="M6" i="1" s="1"/>
  <c r="N6" i="1" s="1"/>
  <c r="O6" i="1" s="1"/>
  <c r="P6" i="1" s="1"/>
  <c r="H26" i="1" l="1"/>
  <c r="I26" i="1" s="1"/>
  <c r="J26" i="1" s="1"/>
  <c r="K26" i="1" s="1"/>
  <c r="L26" i="1" s="1"/>
  <c r="M26" i="1" s="1"/>
  <c r="N26" i="1" s="1"/>
  <c r="O26" i="1" s="1"/>
  <c r="P26" i="1" s="1"/>
  <c r="K4" i="1" l="1"/>
  <c r="L4" i="1" s="1"/>
  <c r="M4" i="1" l="1"/>
  <c r="N4" i="1" l="1"/>
  <c r="O4" i="1" l="1"/>
  <c r="P4" i="1" s="1"/>
  <c r="H25" i="1" l="1"/>
  <c r="I25" i="1" s="1"/>
  <c r="J25" i="1" s="1"/>
  <c r="K25" i="1" s="1"/>
  <c r="L25" i="1" s="1"/>
  <c r="M25" i="1" s="1"/>
  <c r="N25" i="1" s="1"/>
  <c r="O25" i="1" s="1"/>
  <c r="P25" i="1" s="1"/>
  <c r="H22" i="1" l="1"/>
  <c r="I22" i="1" s="1"/>
  <c r="J22" i="1" s="1"/>
  <c r="K22" i="1" s="1"/>
  <c r="L22" i="1" s="1"/>
  <c r="M22" i="1" s="1"/>
  <c r="N22" i="1" s="1"/>
  <c r="O22" i="1" s="1"/>
  <c r="P22" i="1" s="1"/>
  <c r="C10" i="1" l="1"/>
  <c r="I19" i="1" l="1"/>
  <c r="J2" i="1" l="1"/>
  <c r="K2" i="1" s="1"/>
  <c r="E7" i="4"/>
  <c r="F7" i="4" s="1"/>
  <c r="G7" i="4" s="1"/>
  <c r="H7" i="4" s="1"/>
  <c r="I7" i="4" s="1"/>
  <c r="J7" i="4" s="1"/>
  <c r="K7" i="4" s="1"/>
  <c r="J19" i="1" l="1"/>
  <c r="K19" i="1" s="1"/>
  <c r="L2" i="1"/>
  <c r="M2" i="1" s="1"/>
  <c r="N2" i="1" s="1"/>
  <c r="O2" i="1" s="1"/>
  <c r="P2" i="1" s="1"/>
  <c r="L7" i="4"/>
  <c r="M7" i="4" s="1"/>
  <c r="B11" i="4" s="1"/>
  <c r="C11" i="4" l="1"/>
  <c r="L19" i="1"/>
  <c r="M19" i="1" s="1"/>
  <c r="N19" i="1" s="1"/>
  <c r="O19" i="1" s="1"/>
  <c r="P19" i="1" s="1"/>
  <c r="I12" i="1"/>
  <c r="I16" i="1" l="1"/>
  <c r="D11" i="4"/>
  <c r="J12" i="1"/>
  <c r="J16" i="1" s="1"/>
  <c r="E11" i="4" l="1"/>
  <c r="K12" i="1"/>
  <c r="K16" i="1" s="1"/>
  <c r="F11" i="4" l="1"/>
  <c r="L12" i="1"/>
  <c r="L16" i="1" s="1"/>
  <c r="G11" i="4" l="1"/>
  <c r="M12" i="1"/>
  <c r="M16" i="1" s="1"/>
  <c r="H11" i="4" l="1"/>
  <c r="I11" i="4" s="1"/>
  <c r="J11" i="4" s="1"/>
  <c r="K11" i="4" s="1"/>
  <c r="L11" i="4" s="1"/>
  <c r="M11" i="4" s="1"/>
  <c r="G4" i="14" s="1"/>
  <c r="N12" i="1"/>
  <c r="N16" i="1" s="1"/>
  <c r="O12" i="1" l="1"/>
  <c r="O16" i="1" s="1"/>
  <c r="P12" i="1" l="1"/>
  <c r="P16" i="1" s="1"/>
  <c r="H24" i="1" l="1"/>
  <c r="I24" i="1" s="1"/>
  <c r="J24" i="1" s="1"/>
  <c r="K24" i="1" s="1"/>
  <c r="L24" i="1" s="1"/>
  <c r="M24" i="1" s="1"/>
  <c r="N24" i="1" s="1"/>
  <c r="O24" i="1" s="1"/>
  <c r="P24" i="1" s="1"/>
  <c r="B3" i="4" l="1"/>
  <c r="H12" i="4" l="1"/>
  <c r="I12" i="4"/>
  <c r="G12" i="4"/>
  <c r="J12" i="4"/>
  <c r="D12" i="4"/>
  <c r="E12" i="4"/>
  <c r="F12" i="4"/>
  <c r="B12" i="4"/>
  <c r="C12" i="4"/>
  <c r="K12" i="4"/>
  <c r="L12" i="4"/>
  <c r="M12" i="4"/>
  <c r="B8" i="4"/>
  <c r="L8" i="4"/>
  <c r="M8" i="4"/>
  <c r="K8" i="4"/>
  <c r="J8" i="4"/>
  <c r="I8" i="4"/>
  <c r="H8" i="4"/>
  <c r="G8" i="4"/>
  <c r="F8" i="4"/>
  <c r="E8" i="4"/>
  <c r="D8" i="4"/>
  <c r="C8" i="4"/>
  <c r="I13" i="1" l="1"/>
  <c r="R13" i="1"/>
  <c r="M13" i="4"/>
  <c r="H13" i="1" s="1"/>
  <c r="M9" i="4"/>
  <c r="R14" i="1" l="1"/>
  <c r="R17" i="1"/>
  <c r="R15" i="1"/>
  <c r="J13" i="1"/>
  <c r="K13" i="1" s="1"/>
  <c r="L13" i="1" s="1"/>
  <c r="M13" i="1" s="1"/>
  <c r="N13" i="1" s="1"/>
  <c r="O13" i="1" s="1"/>
  <c r="P13" i="1" s="1"/>
  <c r="D17" i="14"/>
  <c r="G13" i="1"/>
  <c r="H17" i="1"/>
  <c r="C8" i="2"/>
  <c r="C17" i="2"/>
  <c r="F16" i="2" s="1"/>
  <c r="R20" i="1" l="1"/>
  <c r="C33" i="1" s="1"/>
  <c r="G17" i="1"/>
  <c r="G15" i="1"/>
  <c r="F15" i="1" s="1"/>
  <c r="B20" i="1"/>
  <c r="C52" i="1"/>
  <c r="H14" i="1"/>
  <c r="H15" i="1"/>
  <c r="G14" i="1"/>
  <c r="A22" i="2"/>
  <c r="A23" i="2" s="1"/>
  <c r="F17" i="2"/>
  <c r="G20" i="1" l="1"/>
  <c r="H20" i="1"/>
  <c r="F14" i="1"/>
  <c r="B22" i="2"/>
  <c r="B23" i="2"/>
  <c r="A24" i="2"/>
  <c r="G36" i="1" l="1"/>
  <c r="H9" i="14"/>
  <c r="G9" i="14" s="1"/>
  <c r="A25" i="2"/>
  <c r="B24" i="2"/>
  <c r="A26" i="2" l="1"/>
  <c r="B25" i="2"/>
  <c r="B26" i="2" l="1"/>
  <c r="A27" i="2"/>
  <c r="B27" i="2" l="1"/>
  <c r="A28" i="2"/>
  <c r="A29" i="2" l="1"/>
  <c r="B28" i="2"/>
  <c r="B29" i="2" l="1"/>
  <c r="A30" i="2"/>
  <c r="B30" i="2" l="1"/>
  <c r="A31" i="2"/>
  <c r="B31" i="2" l="1"/>
  <c r="A32" i="2"/>
  <c r="B32" i="2" l="1"/>
  <c r="A33" i="2"/>
  <c r="J17" i="1" l="1"/>
  <c r="J15" i="1"/>
  <c r="J14" i="1"/>
  <c r="I17" i="1"/>
  <c r="I14" i="1"/>
  <c r="I15" i="1"/>
  <c r="B33" i="2"/>
  <c r="A34" i="2"/>
  <c r="K17" i="1" l="1"/>
  <c r="K15" i="1"/>
  <c r="K14" i="1"/>
  <c r="B34" i="2"/>
  <c r="A35" i="2"/>
  <c r="L14" i="1" l="1"/>
  <c r="L15" i="1"/>
  <c r="L17" i="1"/>
  <c r="B35" i="2"/>
  <c r="A36" i="2"/>
  <c r="M17" i="1" l="1"/>
  <c r="M14" i="1"/>
  <c r="M15" i="1"/>
  <c r="B36" i="2"/>
  <c r="A37" i="2"/>
  <c r="N17" i="1" l="1"/>
  <c r="N15" i="1"/>
  <c r="N14" i="1"/>
  <c r="B37" i="2"/>
  <c r="A38" i="2"/>
  <c r="O17" i="1" l="1"/>
  <c r="O14" i="1"/>
  <c r="O15" i="1"/>
  <c r="B38" i="2"/>
  <c r="A39" i="2"/>
  <c r="P17" i="1" l="1"/>
  <c r="P15" i="1"/>
  <c r="P14" i="1"/>
  <c r="A40" i="2"/>
  <c r="B39" i="2"/>
  <c r="A41" i="2" l="1"/>
  <c r="B40" i="2"/>
  <c r="B41" i="2" l="1"/>
  <c r="A42" i="2"/>
  <c r="B42" i="2" l="1"/>
  <c r="A43" i="2"/>
  <c r="A44" i="2" l="1"/>
  <c r="B43" i="2"/>
  <c r="B44" i="2" l="1"/>
  <c r="A45" i="2"/>
  <c r="B45" i="2" l="1"/>
  <c r="A46" i="2"/>
  <c r="B46" i="2" l="1"/>
  <c r="A47" i="2"/>
  <c r="B47" i="2" l="1"/>
  <c r="A48" i="2"/>
  <c r="B48" i="2" l="1"/>
  <c r="A49" i="2"/>
  <c r="A50" i="2" l="1"/>
  <c r="B49" i="2"/>
  <c r="A51" i="2" l="1"/>
  <c r="B50" i="2"/>
  <c r="B51" i="2" l="1"/>
  <c r="A52" i="2"/>
  <c r="B52" i="2" l="1"/>
  <c r="A53" i="2"/>
  <c r="A54" i="2" l="1"/>
  <c r="B53" i="2"/>
  <c r="B54" i="2" l="1"/>
  <c r="A55" i="2"/>
  <c r="B55" i="2" l="1"/>
  <c r="A56" i="2"/>
  <c r="B56" i="2" l="1"/>
  <c r="A57" i="2"/>
  <c r="A58" i="2" l="1"/>
  <c r="B57" i="2"/>
  <c r="A59" i="2" l="1"/>
  <c r="B58" i="2"/>
  <c r="B59" i="2" l="1"/>
  <c r="A60" i="2"/>
  <c r="A61" i="2" l="1"/>
  <c r="B60" i="2"/>
  <c r="A62" i="2" l="1"/>
  <c r="B61" i="2"/>
  <c r="B62" i="2" l="1"/>
  <c r="A63" i="2"/>
  <c r="A64" i="2" l="1"/>
  <c r="B63" i="2"/>
  <c r="A65" i="2" l="1"/>
  <c r="B64" i="2"/>
  <c r="B65" i="2" l="1"/>
  <c r="A66" i="2"/>
  <c r="B66" i="2" l="1"/>
  <c r="A67" i="2"/>
  <c r="B67" i="2" l="1"/>
  <c r="A68" i="2"/>
  <c r="A69" i="2" l="1"/>
  <c r="B68" i="2"/>
  <c r="B69" i="2" l="1"/>
  <c r="A70" i="2"/>
  <c r="B70" i="2" l="1"/>
  <c r="A71" i="2"/>
  <c r="A72" i="2" l="1"/>
  <c r="B71" i="2"/>
  <c r="A73" i="2" l="1"/>
  <c r="B72" i="2"/>
  <c r="B73" i="2" l="1"/>
  <c r="A74" i="2"/>
  <c r="B74" i="2" l="1"/>
  <c r="A75" i="2"/>
  <c r="B75" i="2" l="1"/>
  <c r="A76" i="2"/>
  <c r="A77" i="2" l="1"/>
  <c r="B76" i="2"/>
  <c r="A78" i="2" l="1"/>
  <c r="B77" i="2"/>
  <c r="B78" i="2" l="1"/>
  <c r="A79" i="2"/>
  <c r="A80" i="2" l="1"/>
  <c r="B79" i="2"/>
  <c r="A81" i="2" l="1"/>
  <c r="B80" i="2"/>
  <c r="B81" i="2" l="1"/>
  <c r="A82" i="2"/>
  <c r="B82" i="2" l="1"/>
  <c r="A83" i="2"/>
  <c r="B83" i="2" l="1"/>
  <c r="A84" i="2"/>
  <c r="A85" i="2" l="1"/>
  <c r="B84" i="2"/>
  <c r="B85" i="2" l="1"/>
  <c r="A86" i="2"/>
  <c r="B86" i="2" l="1"/>
  <c r="A87" i="2"/>
  <c r="A88" i="2" l="1"/>
  <c r="B87" i="2"/>
  <c r="A89" i="2" l="1"/>
  <c r="B88" i="2"/>
  <c r="B89" i="2" l="1"/>
  <c r="A90" i="2"/>
  <c r="B90" i="2" l="1"/>
  <c r="A91" i="2"/>
  <c r="B91" i="2" l="1"/>
  <c r="A92" i="2"/>
  <c r="A93" i="2" l="1"/>
  <c r="B92" i="2"/>
  <c r="A94" i="2" l="1"/>
  <c r="B93" i="2"/>
  <c r="B94" i="2" l="1"/>
  <c r="A95" i="2"/>
  <c r="A96" i="2" l="1"/>
  <c r="B95" i="2"/>
  <c r="A97" i="2" l="1"/>
  <c r="B96" i="2"/>
  <c r="B97" i="2" l="1"/>
  <c r="A98" i="2"/>
  <c r="B98" i="2" l="1"/>
  <c r="A99" i="2"/>
  <c r="A100" i="2" l="1"/>
  <c r="B99" i="2"/>
  <c r="A101" i="2" l="1"/>
  <c r="B100" i="2"/>
  <c r="A102" i="2" l="1"/>
  <c r="B101" i="2"/>
  <c r="B102" i="2" l="1"/>
  <c r="A103" i="2"/>
  <c r="A104" i="2" l="1"/>
  <c r="B103" i="2"/>
  <c r="A105" i="2" l="1"/>
  <c r="B104" i="2"/>
  <c r="B105" i="2" l="1"/>
  <c r="A106" i="2"/>
  <c r="B106" i="2" l="1"/>
  <c r="A107" i="2"/>
  <c r="B107" i="2" l="1"/>
  <c r="A108" i="2"/>
  <c r="A109" i="2" l="1"/>
  <c r="B108" i="2"/>
  <c r="B109" i="2" l="1"/>
  <c r="A110" i="2"/>
  <c r="B110" i="2" l="1"/>
  <c r="A111" i="2"/>
  <c r="A112" i="2" l="1"/>
  <c r="B111" i="2"/>
  <c r="A113" i="2" l="1"/>
  <c r="B112" i="2"/>
  <c r="B113" i="2" l="1"/>
  <c r="A114" i="2"/>
  <c r="B114" i="2" l="1"/>
  <c r="A115" i="2"/>
  <c r="A116" i="2" l="1"/>
  <c r="B115" i="2"/>
  <c r="A117" i="2" l="1"/>
  <c r="B116" i="2"/>
  <c r="A118" i="2" l="1"/>
  <c r="B117" i="2"/>
  <c r="B118" i="2" l="1"/>
  <c r="A119" i="2"/>
  <c r="A120" i="2" l="1"/>
  <c r="B119" i="2"/>
  <c r="A121" i="2" l="1"/>
  <c r="B120" i="2"/>
  <c r="B121" i="2" l="1"/>
  <c r="A122" i="2"/>
  <c r="B122" i="2" l="1"/>
  <c r="A123" i="2"/>
  <c r="A124" i="2" l="1"/>
  <c r="B123" i="2"/>
  <c r="A125" i="2" l="1"/>
  <c r="B124" i="2"/>
  <c r="B125" i="2" l="1"/>
  <c r="A126" i="2"/>
  <c r="B126" i="2" l="1"/>
  <c r="A127" i="2"/>
  <c r="A128" i="2" l="1"/>
  <c r="B127" i="2"/>
  <c r="A129" i="2" l="1"/>
  <c r="B128" i="2"/>
  <c r="B129" i="2" l="1"/>
  <c r="A130" i="2"/>
  <c r="B130" i="2" l="1"/>
  <c r="A131" i="2"/>
  <c r="A132" i="2" l="1"/>
  <c r="B131" i="2"/>
  <c r="A133" i="2" l="1"/>
  <c r="B132" i="2"/>
  <c r="B133" i="2" l="1"/>
  <c r="A134" i="2"/>
  <c r="A135" i="2" l="1"/>
  <c r="B134" i="2"/>
  <c r="B135" i="2" l="1"/>
  <c r="A136" i="2"/>
  <c r="B136" i="2" l="1"/>
  <c r="A137" i="2"/>
  <c r="A138" i="2" l="1"/>
  <c r="B137" i="2"/>
  <c r="B138" i="2" l="1"/>
  <c r="A139" i="2"/>
  <c r="B139" i="2" l="1"/>
  <c r="A140" i="2"/>
  <c r="B140" i="2" l="1"/>
  <c r="A141" i="2"/>
  <c r="B141" i="2" l="1"/>
  <c r="A142" i="2"/>
  <c r="A143" i="2" l="1"/>
  <c r="B142" i="2"/>
  <c r="B143" i="2" l="1"/>
  <c r="A144" i="2"/>
  <c r="A145" i="2" l="1"/>
  <c r="B144" i="2"/>
  <c r="A146" i="2" l="1"/>
  <c r="B145" i="2"/>
  <c r="A147" i="2" l="1"/>
  <c r="B146" i="2"/>
  <c r="B147" i="2" l="1"/>
  <c r="A148" i="2"/>
  <c r="B148" i="2" l="1"/>
  <c r="A149" i="2"/>
  <c r="B149" i="2" l="1"/>
  <c r="A150" i="2"/>
  <c r="B150" i="2" l="1"/>
  <c r="A151" i="2"/>
  <c r="B151" i="2" l="1"/>
  <c r="A152" i="2"/>
  <c r="A153" i="2" l="1"/>
  <c r="B152" i="2"/>
  <c r="A154" i="2" l="1"/>
  <c r="B153" i="2"/>
  <c r="A155" i="2" l="1"/>
  <c r="B154" i="2"/>
  <c r="B155" i="2" l="1"/>
  <c r="A156" i="2"/>
  <c r="B156" i="2" l="1"/>
  <c r="A157" i="2"/>
  <c r="B157" i="2" l="1"/>
  <c r="A158" i="2"/>
  <c r="B158" i="2" l="1"/>
  <c r="A159" i="2"/>
  <c r="B159" i="2" l="1"/>
  <c r="A160" i="2"/>
  <c r="A161" i="2" l="1"/>
  <c r="B160" i="2"/>
  <c r="A162" i="2" l="1"/>
  <c r="B161" i="2"/>
  <c r="A163" i="2" l="1"/>
  <c r="B162" i="2"/>
  <c r="B163" i="2" l="1"/>
  <c r="A164" i="2"/>
  <c r="B164" i="2" l="1"/>
  <c r="A165" i="2"/>
  <c r="B165" i="2" l="1"/>
  <c r="A166" i="2"/>
  <c r="B166" i="2" l="1"/>
  <c r="A167" i="2"/>
  <c r="B167" i="2" l="1"/>
  <c r="A168" i="2"/>
  <c r="B168" i="2" l="1"/>
  <c r="A169" i="2"/>
  <c r="A170" i="2" l="1"/>
  <c r="B169" i="2"/>
  <c r="A171" i="2" l="1"/>
  <c r="B170" i="2"/>
  <c r="B171" i="2" l="1"/>
  <c r="A172" i="2"/>
  <c r="B172" i="2" l="1"/>
  <c r="A173" i="2"/>
  <c r="B173" i="2" l="1"/>
  <c r="A174" i="2"/>
  <c r="B174" i="2" l="1"/>
  <c r="A175" i="2"/>
  <c r="B175" i="2" l="1"/>
  <c r="A176" i="2"/>
  <c r="A177" i="2" l="1"/>
  <c r="B176" i="2"/>
  <c r="A178" i="2" l="1"/>
  <c r="B177" i="2"/>
  <c r="A179" i="2" l="1"/>
  <c r="B178" i="2"/>
  <c r="B179" i="2" l="1"/>
  <c r="A180" i="2"/>
  <c r="B180" i="2" l="1"/>
  <c r="A181" i="2"/>
  <c r="B181" i="2" l="1"/>
  <c r="A182" i="2"/>
  <c r="B182" i="2" l="1"/>
  <c r="A183" i="2"/>
  <c r="B183" i="2" l="1"/>
  <c r="A184" i="2"/>
  <c r="A185" i="2" l="1"/>
  <c r="B184" i="2"/>
  <c r="A186" i="2" l="1"/>
  <c r="B185" i="2"/>
  <c r="A187" i="2" l="1"/>
  <c r="B186" i="2"/>
  <c r="B187" i="2" l="1"/>
  <c r="A188" i="2"/>
  <c r="B188" i="2" l="1"/>
  <c r="A189" i="2"/>
  <c r="B189" i="2" l="1"/>
  <c r="A190" i="2"/>
  <c r="B190" i="2" l="1"/>
  <c r="A191" i="2"/>
  <c r="B191" i="2" l="1"/>
  <c r="A192" i="2"/>
  <c r="A193" i="2" l="1"/>
  <c r="B192" i="2"/>
  <c r="A194" i="2" l="1"/>
  <c r="B193" i="2"/>
  <c r="A195" i="2" l="1"/>
  <c r="B194" i="2"/>
  <c r="B195" i="2" l="1"/>
  <c r="A196" i="2"/>
  <c r="B196" i="2" l="1"/>
  <c r="A197" i="2"/>
  <c r="B197" i="2" l="1"/>
  <c r="A198" i="2"/>
  <c r="B198" i="2" l="1"/>
  <c r="A199" i="2"/>
  <c r="B199" i="2" l="1"/>
  <c r="A200" i="2"/>
  <c r="B200" i="2" l="1"/>
  <c r="A201" i="2"/>
  <c r="A202" i="2" l="1"/>
  <c r="B201" i="2"/>
  <c r="A203" i="2" l="1"/>
  <c r="B202" i="2"/>
  <c r="B203" i="2" l="1"/>
  <c r="A204" i="2"/>
  <c r="B204" i="2" l="1"/>
  <c r="A205" i="2"/>
  <c r="B205" i="2" l="1"/>
  <c r="A206" i="2"/>
  <c r="B206" i="2" l="1"/>
  <c r="A207" i="2"/>
  <c r="B207" i="2" l="1"/>
  <c r="A208" i="2"/>
  <c r="A209" i="2" l="1"/>
  <c r="B208" i="2"/>
  <c r="B209" i="2" l="1"/>
  <c r="A210" i="2"/>
  <c r="A211" i="2" l="1"/>
  <c r="B210" i="2"/>
  <c r="A212" i="2" l="1"/>
  <c r="B211" i="2"/>
  <c r="B212" i="2" l="1"/>
  <c r="A213" i="2"/>
  <c r="B213" i="2" l="1"/>
  <c r="A214" i="2"/>
  <c r="A215" i="2" l="1"/>
  <c r="B214" i="2"/>
  <c r="A216" i="2" l="1"/>
  <c r="B215" i="2"/>
  <c r="B216" i="2" l="1"/>
  <c r="A217" i="2"/>
  <c r="B217" i="2" l="1"/>
  <c r="A218" i="2"/>
  <c r="A219" i="2" l="1"/>
  <c r="B218" i="2"/>
  <c r="B219" i="2" l="1"/>
  <c r="A220" i="2"/>
  <c r="A221" i="2" l="1"/>
  <c r="B220" i="2"/>
  <c r="A222" i="2" l="1"/>
  <c r="B221" i="2"/>
  <c r="B222" i="2" l="1"/>
  <c r="A223" i="2"/>
  <c r="A224" i="2" l="1"/>
  <c r="B223" i="2"/>
  <c r="B224" i="2" l="1"/>
  <c r="A225" i="2"/>
  <c r="B225" i="2" l="1"/>
  <c r="A226" i="2"/>
  <c r="B226" i="2" l="1"/>
  <c r="A227" i="2"/>
  <c r="A228" i="2" l="1"/>
  <c r="B227" i="2"/>
  <c r="A229" i="2" l="1"/>
  <c r="B228" i="2"/>
  <c r="A230" i="2" l="1"/>
  <c r="B229" i="2"/>
  <c r="B230" i="2" l="1"/>
  <c r="A231" i="2"/>
  <c r="B231" i="2" l="1"/>
  <c r="A232" i="2"/>
  <c r="B232" i="2" l="1"/>
  <c r="A233" i="2"/>
  <c r="B233" i="2" l="1"/>
  <c r="A234" i="2"/>
  <c r="B234" i="2" l="1"/>
  <c r="A235" i="2"/>
  <c r="A236" i="2" l="1"/>
  <c r="B235" i="2"/>
  <c r="A237" i="2" l="1"/>
  <c r="B236" i="2"/>
  <c r="A238" i="2" l="1"/>
  <c r="B237" i="2"/>
  <c r="B238" i="2" l="1"/>
  <c r="A239" i="2"/>
  <c r="B239" i="2" l="1"/>
  <c r="A240" i="2"/>
  <c r="B240" i="2" l="1"/>
  <c r="A241" i="2"/>
  <c r="B241" i="2" l="1"/>
  <c r="A242" i="2"/>
  <c r="B242" i="2" l="1"/>
  <c r="A243" i="2"/>
  <c r="A244" i="2" l="1"/>
  <c r="B243" i="2"/>
  <c r="A245" i="2" l="1"/>
  <c r="B244" i="2"/>
  <c r="A246" i="2" l="1"/>
  <c r="B245" i="2"/>
  <c r="B246" i="2" l="1"/>
  <c r="A247" i="2"/>
  <c r="B247" i="2" l="1"/>
  <c r="A248" i="2"/>
  <c r="B248" i="2" l="1"/>
  <c r="A249" i="2"/>
  <c r="B249" i="2" l="1"/>
  <c r="A250" i="2"/>
  <c r="B250" i="2" l="1"/>
  <c r="A251" i="2"/>
  <c r="A252" i="2" l="1"/>
  <c r="B251" i="2"/>
  <c r="A253" i="2" l="1"/>
  <c r="B252" i="2"/>
  <c r="A254" i="2" l="1"/>
  <c r="B253" i="2"/>
  <c r="B254" i="2" l="1"/>
  <c r="A255" i="2"/>
  <c r="B255" i="2" l="1"/>
  <c r="A256" i="2"/>
  <c r="B256" i="2" l="1"/>
  <c r="A257" i="2"/>
  <c r="B257" i="2" l="1"/>
  <c r="A258" i="2"/>
  <c r="B258" i="2" l="1"/>
  <c r="A259" i="2"/>
  <c r="A260" i="2" l="1"/>
  <c r="B259" i="2"/>
  <c r="A261" i="2" l="1"/>
  <c r="B260" i="2"/>
  <c r="A262" i="2" l="1"/>
  <c r="B261" i="2"/>
  <c r="B262" i="2" l="1"/>
  <c r="A263" i="2"/>
  <c r="B263" i="2" l="1"/>
  <c r="A264" i="2"/>
  <c r="B264" i="2" l="1"/>
  <c r="A265" i="2"/>
  <c r="B265" i="2" l="1"/>
  <c r="A266" i="2"/>
  <c r="B266" i="2" l="1"/>
  <c r="A267" i="2"/>
  <c r="A268" i="2" l="1"/>
  <c r="B267" i="2"/>
  <c r="A269" i="2" l="1"/>
  <c r="B268" i="2"/>
  <c r="A270" i="2" l="1"/>
  <c r="B269" i="2"/>
  <c r="B270" i="2" l="1"/>
  <c r="A271" i="2"/>
  <c r="B271" i="2" l="1"/>
  <c r="A272" i="2"/>
  <c r="B272" i="2" l="1"/>
  <c r="A273" i="2"/>
  <c r="B273" i="2" l="1"/>
  <c r="A274" i="2"/>
  <c r="B274" i="2" l="1"/>
  <c r="A275" i="2"/>
  <c r="A276" i="2" l="1"/>
  <c r="B275" i="2"/>
  <c r="A277" i="2" l="1"/>
  <c r="B276" i="2"/>
  <c r="A278" i="2" l="1"/>
  <c r="B277" i="2"/>
  <c r="B278" i="2" l="1"/>
  <c r="A279" i="2"/>
  <c r="B279" i="2" l="1"/>
  <c r="A280" i="2"/>
  <c r="B280" i="2" l="1"/>
  <c r="A281" i="2"/>
  <c r="B281" i="2" l="1"/>
  <c r="A282" i="2"/>
  <c r="B282" i="2" l="1"/>
  <c r="A283" i="2"/>
  <c r="A284" i="2" l="1"/>
  <c r="B283" i="2"/>
  <c r="A285" i="2" l="1"/>
  <c r="B284" i="2"/>
  <c r="A286" i="2" l="1"/>
  <c r="B285" i="2"/>
  <c r="B286" i="2" l="1"/>
  <c r="A287" i="2"/>
  <c r="A288" i="2" l="1"/>
  <c r="B287" i="2"/>
  <c r="A289" i="2" l="1"/>
  <c r="B288" i="2"/>
  <c r="B289" i="2" l="1"/>
  <c r="A290" i="2"/>
  <c r="B290" i="2" l="1"/>
  <c r="A291" i="2"/>
  <c r="B291" i="2" l="1"/>
  <c r="A292" i="2"/>
  <c r="A293" i="2" l="1"/>
  <c r="B292" i="2"/>
  <c r="B293" i="2" l="1"/>
  <c r="A294" i="2"/>
  <c r="A295" i="2" l="1"/>
  <c r="B294" i="2"/>
  <c r="A296" i="2" l="1"/>
  <c r="B295" i="2"/>
  <c r="B296" i="2" l="1"/>
  <c r="A297" i="2"/>
  <c r="B297" i="2" l="1"/>
  <c r="A298" i="2"/>
  <c r="B298" i="2" l="1"/>
  <c r="A299" i="2"/>
  <c r="B299" i="2" l="1"/>
  <c r="A300" i="2"/>
  <c r="B300" i="2" l="1"/>
  <c r="A301" i="2"/>
  <c r="B301" i="2" l="1"/>
  <c r="A302" i="2"/>
  <c r="A303" i="2" l="1"/>
  <c r="B302" i="2"/>
  <c r="A304" i="2" l="1"/>
  <c r="B303" i="2"/>
  <c r="B304" i="2" l="1"/>
  <c r="A305" i="2"/>
  <c r="B305" i="2" l="1"/>
  <c r="A306" i="2"/>
  <c r="B306" i="2" l="1"/>
  <c r="A307" i="2"/>
  <c r="B307" i="2" l="1"/>
  <c r="A308" i="2"/>
  <c r="B308" i="2" l="1"/>
  <c r="A309" i="2"/>
  <c r="A310" i="2" l="1"/>
  <c r="B309" i="2"/>
  <c r="A311" i="2" l="1"/>
  <c r="B310" i="2"/>
  <c r="A312" i="2" l="1"/>
  <c r="B311" i="2"/>
  <c r="B312" i="2" l="1"/>
  <c r="A313" i="2"/>
  <c r="B313" i="2" l="1"/>
  <c r="A314" i="2"/>
  <c r="B314" i="2" l="1"/>
  <c r="A315" i="2"/>
  <c r="B315" i="2" l="1"/>
  <c r="A316" i="2"/>
  <c r="B316" i="2" l="1"/>
  <c r="A317" i="2"/>
  <c r="B317" i="2" l="1"/>
  <c r="A318" i="2"/>
  <c r="A319" i="2" l="1"/>
  <c r="B318" i="2"/>
  <c r="A320" i="2" l="1"/>
  <c r="B319" i="2"/>
  <c r="B320" i="2" l="1"/>
  <c r="A321" i="2"/>
  <c r="B321" i="2" l="1"/>
  <c r="A322" i="2"/>
  <c r="B322" i="2" l="1"/>
  <c r="A323" i="2"/>
  <c r="B323" i="2" l="1"/>
  <c r="A324" i="2"/>
  <c r="B324" i="2" l="1"/>
  <c r="A325" i="2"/>
  <c r="B325" i="2" l="1"/>
  <c r="A326" i="2"/>
  <c r="A327" i="2" l="1"/>
  <c r="B326" i="2"/>
  <c r="A328" i="2" l="1"/>
  <c r="B327" i="2"/>
  <c r="B328" i="2" l="1"/>
  <c r="A329" i="2"/>
  <c r="B329" i="2" l="1"/>
  <c r="A330" i="2"/>
  <c r="B330" i="2" l="1"/>
  <c r="A331" i="2"/>
  <c r="B331" i="2" l="1"/>
  <c r="A332" i="2"/>
  <c r="B332" i="2" l="1"/>
  <c r="A333" i="2"/>
  <c r="B333" i="2" l="1"/>
  <c r="A334" i="2"/>
  <c r="A335" i="2" l="1"/>
  <c r="B334" i="2"/>
  <c r="A336" i="2" l="1"/>
  <c r="B335" i="2"/>
  <c r="B336" i="2" l="1"/>
  <c r="A337" i="2"/>
  <c r="B337" i="2" l="1"/>
  <c r="A338" i="2"/>
  <c r="B338" i="2" l="1"/>
  <c r="A339" i="2"/>
  <c r="B339" i="2" l="1"/>
  <c r="A340" i="2"/>
  <c r="B340" i="2" l="1"/>
  <c r="A341" i="2"/>
  <c r="B341" i="2" l="1"/>
  <c r="A342" i="2"/>
  <c r="A343" i="2" l="1"/>
  <c r="B342" i="2"/>
  <c r="A344" i="2" l="1"/>
  <c r="B343" i="2"/>
  <c r="B344" i="2" l="1"/>
  <c r="A345" i="2"/>
  <c r="B345" i="2" l="1"/>
  <c r="A346" i="2"/>
  <c r="B346" i="2" l="1"/>
  <c r="A347" i="2"/>
  <c r="B347" i="2" l="1"/>
  <c r="A348" i="2"/>
  <c r="B348" i="2" l="1"/>
  <c r="A349" i="2"/>
  <c r="B349" i="2" l="1"/>
  <c r="A350" i="2"/>
  <c r="A351" i="2" l="1"/>
  <c r="B350" i="2"/>
  <c r="A352" i="2" l="1"/>
  <c r="B351" i="2"/>
  <c r="B352" i="2" l="1"/>
  <c r="A353" i="2"/>
  <c r="B353" i="2" l="1"/>
  <c r="A354" i="2"/>
  <c r="B354" i="2" l="1"/>
  <c r="A355" i="2"/>
  <c r="B355" i="2" l="1"/>
  <c r="A356" i="2"/>
  <c r="B356" i="2" l="1"/>
  <c r="A357" i="2"/>
  <c r="B357" i="2" l="1"/>
  <c r="A358" i="2"/>
  <c r="A359" i="2" l="1"/>
  <c r="B358" i="2"/>
  <c r="A360" i="2" l="1"/>
  <c r="B359" i="2"/>
  <c r="B360" i="2" l="1"/>
  <c r="A361" i="2"/>
  <c r="B361" i="2" l="1"/>
  <c r="A362" i="2"/>
  <c r="B362" i="2" l="1"/>
  <c r="A363" i="2"/>
  <c r="B363" i="2" l="1"/>
  <c r="A364" i="2"/>
  <c r="B364" i="2" l="1"/>
  <c r="A365" i="2"/>
  <c r="B365" i="2" l="1"/>
  <c r="A366" i="2"/>
  <c r="A367" i="2" l="1"/>
  <c r="B366" i="2"/>
  <c r="A368" i="2" l="1"/>
  <c r="B367" i="2"/>
  <c r="B368" i="2" l="1"/>
  <c r="A369" i="2"/>
  <c r="B369" i="2" l="1"/>
  <c r="A370" i="2"/>
  <c r="B370" i="2" l="1"/>
  <c r="A371" i="2"/>
  <c r="B371" i="2" l="1"/>
  <c r="A372" i="2"/>
  <c r="B372" i="2" l="1"/>
  <c r="A373" i="2"/>
  <c r="B373" i="2" l="1"/>
  <c r="A374" i="2"/>
  <c r="A375" i="2" l="1"/>
  <c r="B374" i="2"/>
  <c r="A376" i="2" l="1"/>
  <c r="B375" i="2"/>
  <c r="B376" i="2" l="1"/>
  <c r="A377" i="2"/>
  <c r="B377" i="2" l="1"/>
  <c r="A378" i="2"/>
  <c r="B378" i="2" l="1"/>
  <c r="A379" i="2"/>
  <c r="B379" i="2" l="1"/>
  <c r="A380" i="2"/>
  <c r="B380" i="2" l="1"/>
  <c r="A381" i="2"/>
  <c r="B381" i="2" l="1"/>
  <c r="H37" i="1" l="1"/>
  <c r="I37" i="1" s="1"/>
  <c r="J37" i="1" s="1"/>
  <c r="K37" i="1" s="1"/>
  <c r="L37" i="1" s="1"/>
  <c r="M37" i="1" s="1"/>
  <c r="N37" i="1" s="1"/>
  <c r="O37" i="1" s="1"/>
  <c r="I9" i="14" l="1"/>
  <c r="P37" i="1"/>
  <c r="I20" i="1" l="1"/>
  <c r="J9" i="14" l="1"/>
  <c r="J20" i="1"/>
  <c r="K9" i="14" s="1"/>
  <c r="H36" i="1"/>
  <c r="K20" i="1" l="1"/>
  <c r="L9" i="14" s="1"/>
  <c r="I36" i="1"/>
  <c r="J36" i="1"/>
  <c r="L20" i="1" l="1"/>
  <c r="M9" i="14" s="1"/>
  <c r="K36" i="1"/>
  <c r="M20" i="1" l="1"/>
  <c r="N9" i="14" s="1"/>
  <c r="L36" i="1"/>
  <c r="N20" i="1" l="1"/>
  <c r="O20" i="1"/>
  <c r="P9" i="14" s="1"/>
  <c r="M36" i="1"/>
  <c r="N36" i="1" l="1"/>
  <c r="O9" i="14"/>
  <c r="P20" i="1"/>
  <c r="O36" i="1"/>
  <c r="P36" i="1" l="1"/>
  <c r="Q9" i="14"/>
  <c r="C19" i="1" l="1"/>
  <c r="D16" i="14" s="1"/>
  <c r="G38" i="1" l="1"/>
  <c r="H35" i="1"/>
  <c r="C18" i="1"/>
  <c r="C50" i="1"/>
  <c r="C22" i="1"/>
  <c r="D11" i="14"/>
  <c r="D12" i="14" l="1"/>
  <c r="D19" i="14"/>
  <c r="C51" i="1"/>
  <c r="D15" i="14"/>
  <c r="D32" i="14" s="1"/>
  <c r="H42" i="1"/>
  <c r="C23" i="1"/>
  <c r="D31" i="14"/>
  <c r="H38" i="1"/>
  <c r="C34" i="1" s="1"/>
  <c r="C35" i="1" s="1"/>
  <c r="C36" i="1" s="1"/>
  <c r="I35" i="1"/>
  <c r="G40" i="1"/>
  <c r="H11" i="14"/>
  <c r="G11" i="14" s="1"/>
  <c r="F38" i="1"/>
  <c r="D20" i="14" l="1"/>
  <c r="D33" i="14"/>
  <c r="C47" i="1"/>
  <c r="G43" i="1"/>
  <c r="G44" i="1" s="1"/>
  <c r="C17" i="1"/>
  <c r="H13" i="14"/>
  <c r="C16" i="1"/>
  <c r="I17" i="14"/>
  <c r="I38" i="1"/>
  <c r="J35" i="1"/>
  <c r="H40" i="1"/>
  <c r="I11" i="14"/>
  <c r="C53" i="1"/>
  <c r="G50" i="1" l="1"/>
  <c r="G51" i="1"/>
  <c r="I13" i="14"/>
  <c r="I15" i="14" s="1"/>
  <c r="H43" i="1"/>
  <c r="H44" i="1" s="1"/>
  <c r="K35" i="1"/>
  <c r="J38" i="1"/>
  <c r="J11" i="14"/>
  <c r="I40" i="1"/>
  <c r="H15" i="14"/>
  <c r="D13" i="14"/>
  <c r="D14" i="14" s="1"/>
  <c r="G13" i="14"/>
  <c r="H19" i="14"/>
  <c r="G45" i="1"/>
  <c r="H50" i="1" l="1"/>
  <c r="H51" i="1"/>
  <c r="H26" i="14"/>
  <c r="H25" i="14"/>
  <c r="C37" i="1"/>
  <c r="I48" i="1" s="1"/>
  <c r="J48" i="1" s="1"/>
  <c r="I19" i="14"/>
  <c r="H45" i="1"/>
  <c r="K11" i="14"/>
  <c r="J40" i="1"/>
  <c r="L35" i="1"/>
  <c r="K38" i="1"/>
  <c r="J13" i="14"/>
  <c r="J15" i="14" s="1"/>
  <c r="H28" i="14" l="1"/>
  <c r="H29" i="14"/>
  <c r="K23" i="14"/>
  <c r="K48" i="1"/>
  <c r="D21" i="14"/>
  <c r="I42" i="1"/>
  <c r="J17" i="14" s="1"/>
  <c r="C46" i="1"/>
  <c r="C48" i="1" s="1"/>
  <c r="B47" i="1" s="1"/>
  <c r="C7" i="2"/>
  <c r="C14" i="2" s="1"/>
  <c r="C16" i="2" s="1"/>
  <c r="H23" i="14"/>
  <c r="H48" i="1"/>
  <c r="K40" i="1"/>
  <c r="L11" i="14"/>
  <c r="L38" i="1"/>
  <c r="M35" i="1"/>
  <c r="K13" i="14"/>
  <c r="K15" i="14" s="1"/>
  <c r="D23" i="14" l="1"/>
  <c r="B46" i="1"/>
  <c r="B52" i="1"/>
  <c r="B51" i="1"/>
  <c r="B50" i="1"/>
  <c r="I26" i="2"/>
  <c r="D28" i="14"/>
  <c r="G25" i="14"/>
  <c r="G26" i="14" s="1"/>
  <c r="H21" i="14"/>
  <c r="G16" i="2"/>
  <c r="C22" i="2" s="1"/>
  <c r="I23" i="14"/>
  <c r="I21" i="14"/>
  <c r="N35" i="1"/>
  <c r="M38" i="1"/>
  <c r="M11" i="14"/>
  <c r="L40" i="1"/>
  <c r="L13" i="14"/>
  <c r="L15" i="14" l="1"/>
  <c r="C52" i="14"/>
  <c r="D52" i="14"/>
  <c r="I25" i="14"/>
  <c r="I28" i="14" s="1"/>
  <c r="I26" i="14"/>
  <c r="I29" i="14" s="1"/>
  <c r="B53" i="1"/>
  <c r="L42" i="1"/>
  <c r="L43" i="1" s="1"/>
  <c r="L44" i="1" s="1"/>
  <c r="J42" i="1"/>
  <c r="G17" i="2"/>
  <c r="D29" i="14"/>
  <c r="C28" i="14" s="1"/>
  <c r="D22" i="2"/>
  <c r="M13" i="14"/>
  <c r="M15" i="14" s="1"/>
  <c r="N11" i="14"/>
  <c r="M40" i="1"/>
  <c r="O35" i="1"/>
  <c r="N38" i="1"/>
  <c r="L51" i="1" l="1"/>
  <c r="L50" i="1"/>
  <c r="D53" i="14"/>
  <c r="D54" i="14"/>
  <c r="C53" i="14"/>
  <c r="C54" i="14"/>
  <c r="M42" i="1"/>
  <c r="N17" i="14" s="1"/>
  <c r="M17" i="14"/>
  <c r="I43" i="1"/>
  <c r="I44" i="1" s="1"/>
  <c r="G22" i="2"/>
  <c r="E22" i="2"/>
  <c r="F22" i="2" s="1"/>
  <c r="C23" i="2" s="1"/>
  <c r="D23" i="2" s="1"/>
  <c r="E23" i="2" s="1"/>
  <c r="K17" i="14"/>
  <c r="K42" i="1"/>
  <c r="J43" i="1"/>
  <c r="J44" i="1" s="1"/>
  <c r="C32" i="14"/>
  <c r="C31" i="14"/>
  <c r="C27" i="14"/>
  <c r="N13" i="14"/>
  <c r="N15" i="14" s="1"/>
  <c r="M19" i="14"/>
  <c r="L45" i="1"/>
  <c r="O11" i="14"/>
  <c r="N40" i="1"/>
  <c r="O38" i="1"/>
  <c r="P35" i="1"/>
  <c r="P38" i="1" s="1"/>
  <c r="J50" i="1" l="1"/>
  <c r="J51" i="1"/>
  <c r="I50" i="1"/>
  <c r="I51" i="1"/>
  <c r="M43" i="1"/>
  <c r="M44" i="1" s="1"/>
  <c r="N42" i="1"/>
  <c r="O42" i="1" s="1"/>
  <c r="M25" i="14"/>
  <c r="M26" i="14"/>
  <c r="I45" i="1"/>
  <c r="J19" i="14"/>
  <c r="C33" i="14"/>
  <c r="L17" i="14"/>
  <c r="K43" i="1"/>
  <c r="K44" i="1" s="1"/>
  <c r="F23" i="2"/>
  <c r="C24" i="2" s="1"/>
  <c r="D24" i="2" s="1"/>
  <c r="J45" i="1"/>
  <c r="K19" i="14"/>
  <c r="G23" i="2"/>
  <c r="M21" i="14"/>
  <c r="P40" i="1"/>
  <c r="Q11" i="14"/>
  <c r="P11" i="14"/>
  <c r="O40" i="1"/>
  <c r="O13" i="14"/>
  <c r="O15" i="14" s="1"/>
  <c r="M45" i="1" l="1"/>
  <c r="M51" i="1"/>
  <c r="M50" i="1"/>
  <c r="K51" i="1"/>
  <c r="K50" i="1"/>
  <c r="N43" i="1"/>
  <c r="N44" i="1" s="1"/>
  <c r="O17" i="14"/>
  <c r="N19" i="14"/>
  <c r="N25" i="14" s="1"/>
  <c r="J21" i="14"/>
  <c r="J26" i="14"/>
  <c r="J29" i="14" s="1"/>
  <c r="J25" i="14"/>
  <c r="J28" i="14" s="1"/>
  <c r="K26" i="14"/>
  <c r="K29" i="14" s="1"/>
  <c r="K25" i="14"/>
  <c r="K28" i="14" s="1"/>
  <c r="P17" i="14"/>
  <c r="P42" i="1"/>
  <c r="Q17" i="14" s="1"/>
  <c r="K21" i="14"/>
  <c r="K45" i="1"/>
  <c r="L19" i="14"/>
  <c r="B60" i="1"/>
  <c r="Q13" i="14"/>
  <c r="C40" i="14" s="1"/>
  <c r="C60" i="1"/>
  <c r="E24" i="2"/>
  <c r="G24" i="2"/>
  <c r="O43" i="1"/>
  <c r="O44" i="1" s="1"/>
  <c r="P13" i="14"/>
  <c r="P15" i="14" s="1"/>
  <c r="N51" i="1" l="1"/>
  <c r="N50" i="1"/>
  <c r="O50" i="1"/>
  <c r="O51" i="1"/>
  <c r="N45" i="1"/>
  <c r="O19" i="14"/>
  <c r="O25" i="14" s="1"/>
  <c r="N21" i="14"/>
  <c r="N26" i="14"/>
  <c r="L26" i="14"/>
  <c r="L25" i="14"/>
  <c r="L21" i="14"/>
  <c r="P43" i="1"/>
  <c r="P44" i="1" s="1"/>
  <c r="F24" i="2"/>
  <c r="C25" i="2" s="1"/>
  <c r="C61" i="1"/>
  <c r="Q15" i="14"/>
  <c r="D40" i="14"/>
  <c r="P19" i="14"/>
  <c r="O45" i="1"/>
  <c r="B61" i="1"/>
  <c r="O26" i="14" l="1"/>
  <c r="O21" i="14"/>
  <c r="P45" i="1"/>
  <c r="P26" i="14"/>
  <c r="P25" i="14"/>
  <c r="Q19" i="14"/>
  <c r="D25" i="2"/>
  <c r="P21" i="14"/>
  <c r="C42" i="14"/>
  <c r="C41" i="14"/>
  <c r="D42" i="14"/>
  <c r="D41" i="14"/>
  <c r="Q21" i="14" l="1"/>
  <c r="E25" i="2"/>
  <c r="G25" i="2"/>
  <c r="F25" i="2" l="1"/>
  <c r="C26" i="2" s="1"/>
  <c r="D26" i="2" l="1"/>
  <c r="E26" i="2" l="1"/>
  <c r="G26" i="2"/>
  <c r="F26" i="2" l="1"/>
  <c r="C27" i="2" s="1"/>
  <c r="D27" i="2" l="1"/>
  <c r="E27" i="2" l="1"/>
  <c r="F27" i="2" s="1"/>
  <c r="C28" i="2" s="1"/>
  <c r="G27" i="2"/>
  <c r="D28" i="2" l="1"/>
  <c r="E28" i="2" s="1"/>
  <c r="F28" i="2" s="1"/>
  <c r="C29" i="2" s="1"/>
  <c r="D29" i="2" l="1"/>
  <c r="E29" i="2" s="1"/>
  <c r="F29" i="2" s="1"/>
  <c r="C30" i="2" s="1"/>
  <c r="G28" i="2"/>
  <c r="G29" i="2" l="1"/>
  <c r="D30" i="2"/>
  <c r="E30" i="2" s="1"/>
  <c r="F30" i="2" s="1"/>
  <c r="C31" i="2" s="1"/>
  <c r="D31" i="2" l="1"/>
  <c r="E31" i="2" s="1"/>
  <c r="F31" i="2" s="1"/>
  <c r="C32" i="2" s="1"/>
  <c r="G30" i="2"/>
  <c r="G31" i="2" l="1"/>
  <c r="D32" i="2"/>
  <c r="E32" i="2" s="1"/>
  <c r="F32" i="2" s="1"/>
  <c r="C33" i="2" s="1"/>
  <c r="G32" i="2" l="1"/>
  <c r="D33" i="2"/>
  <c r="G33" i="2" l="1"/>
  <c r="E33" i="2"/>
  <c r="I29" i="2"/>
  <c r="I32" i="2" l="1"/>
  <c r="F33" i="2"/>
  <c r="J23" i="14" l="1"/>
  <c r="L48" i="1"/>
  <c r="C34" i="2"/>
  <c r="D34" i="2" l="1"/>
  <c r="E34" i="2" l="1"/>
  <c r="G34" i="2"/>
  <c r="F34" i="2" l="1"/>
  <c r="C35" i="2" s="1"/>
  <c r="D35" i="2" l="1"/>
  <c r="E35" i="2" l="1"/>
  <c r="G35" i="2"/>
  <c r="F35" i="2" l="1"/>
  <c r="C36" i="2" s="1"/>
  <c r="D36" i="2" l="1"/>
  <c r="E36" i="2" l="1"/>
  <c r="G36" i="2"/>
  <c r="F36" i="2" l="1"/>
  <c r="C37" i="2" s="1"/>
  <c r="D37" i="2" l="1"/>
  <c r="E37" i="2" l="1"/>
  <c r="G37" i="2"/>
  <c r="F37" i="2" l="1"/>
  <c r="C38" i="2" s="1"/>
  <c r="D38" i="2" l="1"/>
  <c r="E38" i="2" l="1"/>
  <c r="G38" i="2"/>
  <c r="F38" i="2" l="1"/>
  <c r="C39" i="2" s="1"/>
  <c r="D39" i="2" l="1"/>
  <c r="E39" i="2" l="1"/>
  <c r="G39" i="2"/>
  <c r="F39" i="2" l="1"/>
  <c r="C40" i="2" s="1"/>
  <c r="D40" i="2" l="1"/>
  <c r="E40" i="2" l="1"/>
  <c r="G40" i="2"/>
  <c r="F40" i="2" l="1"/>
  <c r="C41" i="2" s="1"/>
  <c r="D41" i="2" l="1"/>
  <c r="E41" i="2" l="1"/>
  <c r="G41" i="2"/>
  <c r="F41" i="2" l="1"/>
  <c r="C42" i="2" s="1"/>
  <c r="D42" i="2" l="1"/>
  <c r="E42" i="2" l="1"/>
  <c r="G42" i="2"/>
  <c r="F42" i="2" l="1"/>
  <c r="C43" i="2" s="1"/>
  <c r="D43" i="2" l="1"/>
  <c r="E43" i="2" l="1"/>
  <c r="G43" i="2"/>
  <c r="F43" i="2" l="1"/>
  <c r="C44" i="2" s="1"/>
  <c r="D44" i="2" l="1"/>
  <c r="E44" i="2" l="1"/>
  <c r="F44" i="2" s="1"/>
  <c r="C45" i="2" s="1"/>
  <c r="G44" i="2"/>
  <c r="D45" i="2" l="1"/>
  <c r="E45" i="2" s="1"/>
  <c r="I33" i="2" s="1"/>
  <c r="F45" i="2" l="1"/>
  <c r="M48" i="1" s="1"/>
  <c r="G45" i="2"/>
  <c r="C46" i="2" l="1"/>
  <c r="D46" i="2" l="1"/>
  <c r="E46" i="2" l="1"/>
  <c r="G46" i="2"/>
  <c r="F46" i="2" l="1"/>
  <c r="C47" i="2" s="1"/>
  <c r="D47" i="2" l="1"/>
  <c r="E47" i="2" l="1"/>
  <c r="G47" i="2"/>
  <c r="F47" i="2" l="1"/>
  <c r="C48" i="2" s="1"/>
  <c r="D48" i="2" l="1"/>
  <c r="E48" i="2" l="1"/>
  <c r="G48" i="2"/>
  <c r="F48" i="2" l="1"/>
  <c r="C49" i="2" s="1"/>
  <c r="D49" i="2" l="1"/>
  <c r="E49" i="2" l="1"/>
  <c r="G49" i="2"/>
  <c r="F49" i="2" l="1"/>
  <c r="C50" i="2" s="1"/>
  <c r="D50" i="2" l="1"/>
  <c r="E50" i="2" l="1"/>
  <c r="G50" i="2"/>
  <c r="K48" i="2" l="1"/>
  <c r="K47" i="2"/>
  <c r="F50" i="2"/>
  <c r="C51" i="2" s="1"/>
  <c r="D51" i="2" l="1"/>
  <c r="E51" i="2" l="1"/>
  <c r="F51" i="2" s="1"/>
  <c r="C52" i="2" s="1"/>
  <c r="G51" i="2"/>
  <c r="D52" i="2" l="1"/>
  <c r="E52" i="2" s="1"/>
  <c r="F52" i="2" s="1"/>
  <c r="C53" i="2" s="1"/>
  <c r="D53" i="2" l="1"/>
  <c r="E53" i="2" s="1"/>
  <c r="F53" i="2" s="1"/>
  <c r="C54" i="2" s="1"/>
  <c r="G52" i="2"/>
  <c r="G53" i="2" l="1"/>
  <c r="D54" i="2"/>
  <c r="E54" i="2" s="1"/>
  <c r="F54" i="2" s="1"/>
  <c r="C55" i="2" s="1"/>
  <c r="G54" i="2" l="1"/>
  <c r="D55" i="2"/>
  <c r="E55" i="2" s="1"/>
  <c r="F55" i="2" s="1"/>
  <c r="C56" i="2" s="1"/>
  <c r="G55" i="2" l="1"/>
  <c r="D56" i="2"/>
  <c r="E56" i="2" s="1"/>
  <c r="F56" i="2" s="1"/>
  <c r="C57" i="2" s="1"/>
  <c r="G56" i="2" l="1"/>
  <c r="D57" i="2"/>
  <c r="E57" i="2" s="1"/>
  <c r="I34" i="2" s="1"/>
  <c r="G57" i="2" l="1"/>
  <c r="F57" i="2"/>
  <c r="L23" i="14" l="1"/>
  <c r="D50" i="14" s="1"/>
  <c r="C55" i="14" s="1"/>
  <c r="N48" i="1"/>
  <c r="C58" i="2"/>
  <c r="D55" i="14" l="1"/>
  <c r="D56" i="14" s="1"/>
  <c r="L29" i="14" s="1"/>
  <c r="M29" i="14" s="1"/>
  <c r="C56" i="14"/>
  <c r="L28" i="14" s="1"/>
  <c r="M28" i="14" s="1"/>
  <c r="D58" i="2"/>
  <c r="E58" i="2" l="1"/>
  <c r="G58" i="2"/>
  <c r="F58" i="2" l="1"/>
  <c r="C59" i="2" s="1"/>
  <c r="D59" i="2" l="1"/>
  <c r="E59" i="2" l="1"/>
  <c r="G59" i="2"/>
  <c r="F59" i="2" l="1"/>
  <c r="C60" i="2" s="1"/>
  <c r="D60" i="2" l="1"/>
  <c r="E60" i="2" l="1"/>
  <c r="G60" i="2"/>
  <c r="F60" i="2" l="1"/>
  <c r="C61" i="2" s="1"/>
  <c r="D61" i="2" l="1"/>
  <c r="E61" i="2" l="1"/>
  <c r="G61" i="2"/>
  <c r="F61" i="2" l="1"/>
  <c r="C62" i="2" s="1"/>
  <c r="D62" i="2" l="1"/>
  <c r="E62" i="2" l="1"/>
  <c r="G62" i="2"/>
  <c r="F62" i="2" l="1"/>
  <c r="C63" i="2" s="1"/>
  <c r="D63" i="2" l="1"/>
  <c r="E63" i="2" l="1"/>
  <c r="F63" i="2" s="1"/>
  <c r="C64" i="2" s="1"/>
  <c r="G63" i="2"/>
  <c r="D64" i="2" l="1"/>
  <c r="E64" i="2" s="1"/>
  <c r="F64" i="2" s="1"/>
  <c r="C65" i="2" s="1"/>
  <c r="D65" i="2" l="1"/>
  <c r="E65" i="2" s="1"/>
  <c r="F65" i="2" s="1"/>
  <c r="C66" i="2" s="1"/>
  <c r="G64" i="2"/>
  <c r="G65" i="2" l="1"/>
  <c r="D66" i="2"/>
  <c r="E66" i="2" s="1"/>
  <c r="F66" i="2" s="1"/>
  <c r="C67" i="2" s="1"/>
  <c r="D67" i="2" l="1"/>
  <c r="E67" i="2" s="1"/>
  <c r="F67" i="2" s="1"/>
  <c r="C68" i="2" s="1"/>
  <c r="G66" i="2"/>
  <c r="G67" i="2" l="1"/>
  <c r="D68" i="2"/>
  <c r="E68" i="2" s="1"/>
  <c r="F68" i="2" s="1"/>
  <c r="C69" i="2" s="1"/>
  <c r="D69" i="2" l="1"/>
  <c r="E69" i="2" s="1"/>
  <c r="I35" i="2" s="1"/>
  <c r="G68" i="2"/>
  <c r="G69" i="2" l="1"/>
  <c r="F69" i="2"/>
  <c r="M23" i="14" l="1"/>
  <c r="O48" i="1"/>
  <c r="C70" i="2"/>
  <c r="D70" i="2" l="1"/>
  <c r="E70" i="2" l="1"/>
  <c r="G70" i="2"/>
  <c r="F70" i="2" l="1"/>
  <c r="C71" i="2" s="1"/>
  <c r="D71" i="2" l="1"/>
  <c r="E71" i="2" l="1"/>
  <c r="G71" i="2"/>
  <c r="F71" i="2" l="1"/>
  <c r="C72" i="2" s="1"/>
  <c r="D72" i="2" l="1"/>
  <c r="E72" i="2" l="1"/>
  <c r="G72" i="2"/>
  <c r="F72" i="2" l="1"/>
  <c r="C73" i="2" s="1"/>
  <c r="D73" i="2" l="1"/>
  <c r="E73" i="2" l="1"/>
  <c r="G73" i="2"/>
  <c r="F73" i="2" l="1"/>
  <c r="C74" i="2" s="1"/>
  <c r="D74" i="2" l="1"/>
  <c r="E74" i="2" l="1"/>
  <c r="G74" i="2"/>
  <c r="F74" i="2" l="1"/>
  <c r="C75" i="2" s="1"/>
  <c r="D75" i="2" l="1"/>
  <c r="E75" i="2" l="1"/>
  <c r="F75" i="2" s="1"/>
  <c r="C76" i="2" s="1"/>
  <c r="G75" i="2"/>
  <c r="D76" i="2" l="1"/>
  <c r="E76" i="2" s="1"/>
  <c r="F76" i="2" s="1"/>
  <c r="C77" i="2" s="1"/>
  <c r="D77" i="2" l="1"/>
  <c r="E77" i="2" s="1"/>
  <c r="F77" i="2" s="1"/>
  <c r="C78" i="2" s="1"/>
  <c r="G76" i="2"/>
  <c r="G77" i="2" l="1"/>
  <c r="D78" i="2"/>
  <c r="E78" i="2" s="1"/>
  <c r="F78" i="2" s="1"/>
  <c r="C79" i="2" s="1"/>
  <c r="G78" i="2" l="1"/>
  <c r="D79" i="2"/>
  <c r="E79" i="2" s="1"/>
  <c r="F79" i="2" s="1"/>
  <c r="C80" i="2" s="1"/>
  <c r="G79" i="2" l="1"/>
  <c r="D80" i="2"/>
  <c r="E80" i="2" s="1"/>
  <c r="F80" i="2" s="1"/>
  <c r="C81" i="2" s="1"/>
  <c r="G80" i="2" l="1"/>
  <c r="D81" i="2"/>
  <c r="E81" i="2" s="1"/>
  <c r="I36" i="2" s="1"/>
  <c r="G81" i="2" l="1"/>
  <c r="F81" i="2"/>
  <c r="N23" i="14" l="1"/>
  <c r="P48" i="1"/>
  <c r="C82" i="2"/>
  <c r="D82" i="2" l="1"/>
  <c r="E82" i="2" l="1"/>
  <c r="G82" i="2"/>
  <c r="F82" i="2" l="1"/>
  <c r="C83" i="2" s="1"/>
  <c r="D83" i="2" l="1"/>
  <c r="E83" i="2" l="1"/>
  <c r="G83" i="2"/>
  <c r="F83" i="2" l="1"/>
  <c r="C84" i="2" s="1"/>
  <c r="D84" i="2" l="1"/>
  <c r="E84" i="2" l="1"/>
  <c r="G84" i="2"/>
  <c r="F84" i="2" l="1"/>
  <c r="C85" i="2" s="1"/>
  <c r="D85" i="2" l="1"/>
  <c r="E85" i="2" l="1"/>
  <c r="G85" i="2"/>
  <c r="F85" i="2" l="1"/>
  <c r="C86" i="2" s="1"/>
  <c r="D86" i="2" l="1"/>
  <c r="E86" i="2" l="1"/>
  <c r="G86" i="2"/>
  <c r="F86" i="2" l="1"/>
  <c r="C87" i="2" s="1"/>
  <c r="D87" i="2" l="1"/>
  <c r="E87" i="2" l="1"/>
  <c r="F87" i="2" s="1"/>
  <c r="C88" i="2" s="1"/>
  <c r="G87" i="2"/>
  <c r="D88" i="2" l="1"/>
  <c r="E88" i="2" s="1"/>
  <c r="F88" i="2" s="1"/>
  <c r="C89" i="2" s="1"/>
  <c r="D89" i="2" l="1"/>
  <c r="E89" i="2" s="1"/>
  <c r="F89" i="2" s="1"/>
  <c r="C90" i="2" s="1"/>
  <c r="G88" i="2"/>
  <c r="G89" i="2" l="1"/>
  <c r="D90" i="2"/>
  <c r="E90" i="2" s="1"/>
  <c r="F90" i="2" s="1"/>
  <c r="C91" i="2" s="1"/>
  <c r="G90" i="2" l="1"/>
  <c r="D91" i="2"/>
  <c r="E91" i="2" s="1"/>
  <c r="F91" i="2" s="1"/>
  <c r="C92" i="2" s="1"/>
  <c r="G91" i="2" l="1"/>
  <c r="D92" i="2"/>
  <c r="E92" i="2" s="1"/>
  <c r="F92" i="2" s="1"/>
  <c r="C93" i="2" s="1"/>
  <c r="G92" i="2" l="1"/>
  <c r="D93" i="2"/>
  <c r="E93" i="2" s="1"/>
  <c r="I37" i="2" s="1"/>
  <c r="G93" i="2" l="1"/>
  <c r="F93" i="2"/>
  <c r="C94" i="2" l="1"/>
  <c r="D94" i="2" s="1"/>
  <c r="E94" i="2" s="1"/>
  <c r="F94" i="2" s="1"/>
  <c r="C95" i="2" s="1"/>
  <c r="O23" i="14"/>
  <c r="G94" i="2" l="1"/>
  <c r="D95" i="2"/>
  <c r="E95" i="2" s="1"/>
  <c r="F95" i="2" s="1"/>
  <c r="C96" i="2" s="1"/>
  <c r="G95" i="2" l="1"/>
  <c r="D96" i="2"/>
  <c r="E96" i="2" s="1"/>
  <c r="F96" i="2" s="1"/>
  <c r="C97" i="2" s="1"/>
  <c r="G96" i="2" l="1"/>
  <c r="D97" i="2"/>
  <c r="E97" i="2" s="1"/>
  <c r="F97" i="2" s="1"/>
  <c r="C98" i="2" s="1"/>
  <c r="D98" i="2" l="1"/>
  <c r="E98" i="2" s="1"/>
  <c r="F98" i="2" s="1"/>
  <c r="C99" i="2" s="1"/>
  <c r="G97" i="2"/>
  <c r="G98" i="2" l="1"/>
  <c r="D99" i="2"/>
  <c r="E99" i="2" s="1"/>
  <c r="F99" i="2" s="1"/>
  <c r="C100" i="2" s="1"/>
  <c r="D100" i="2" l="1"/>
  <c r="E100" i="2" s="1"/>
  <c r="F100" i="2" s="1"/>
  <c r="C101" i="2" s="1"/>
  <c r="G99" i="2"/>
  <c r="G100" i="2" l="1"/>
  <c r="D101" i="2"/>
  <c r="E101" i="2" s="1"/>
  <c r="F101" i="2" s="1"/>
  <c r="C102" i="2" s="1"/>
  <c r="G101" i="2" l="1"/>
  <c r="D102" i="2"/>
  <c r="E102" i="2" s="1"/>
  <c r="F102" i="2" s="1"/>
  <c r="C103" i="2" s="1"/>
  <c r="G102" i="2" l="1"/>
  <c r="D103" i="2"/>
  <c r="E103" i="2" s="1"/>
  <c r="F103" i="2" s="1"/>
  <c r="C104" i="2" s="1"/>
  <c r="G103" i="2" l="1"/>
  <c r="D104" i="2"/>
  <c r="E104" i="2" s="1"/>
  <c r="F104" i="2" s="1"/>
  <c r="C105" i="2" s="1"/>
  <c r="G104" i="2" l="1"/>
  <c r="D105" i="2"/>
  <c r="E105" i="2" s="1"/>
  <c r="F105" i="2" s="1"/>
  <c r="C106" i="2" l="1"/>
  <c r="D106" i="2" s="1"/>
  <c r="E106" i="2" s="1"/>
  <c r="F106" i="2" s="1"/>
  <c r="C107" i="2" s="1"/>
  <c r="P23" i="14"/>
  <c r="G105" i="2"/>
  <c r="G106" i="2" l="1"/>
  <c r="D107" i="2"/>
  <c r="E107" i="2" s="1"/>
  <c r="F107" i="2" s="1"/>
  <c r="C108" i="2" s="1"/>
  <c r="G107" i="2" l="1"/>
  <c r="D108" i="2"/>
  <c r="E108" i="2" s="1"/>
  <c r="F108" i="2" s="1"/>
  <c r="C109" i="2" s="1"/>
  <c r="G108" i="2" l="1"/>
  <c r="D109" i="2"/>
  <c r="E109" i="2" s="1"/>
  <c r="F109" i="2" s="1"/>
  <c r="C110" i="2" s="1"/>
  <c r="G109" i="2" l="1"/>
  <c r="D110" i="2"/>
  <c r="E110" i="2" s="1"/>
  <c r="F110" i="2" s="1"/>
  <c r="C111" i="2" s="1"/>
  <c r="G110" i="2" l="1"/>
  <c r="D111" i="2"/>
  <c r="E111" i="2" s="1"/>
  <c r="F111" i="2" s="1"/>
  <c r="C112" i="2" s="1"/>
  <c r="D112" i="2" l="1"/>
  <c r="E112" i="2" s="1"/>
  <c r="F112" i="2" s="1"/>
  <c r="C113" i="2" s="1"/>
  <c r="G111" i="2"/>
  <c r="G112" i="2" l="1"/>
  <c r="D113" i="2"/>
  <c r="E113" i="2" s="1"/>
  <c r="F113" i="2" s="1"/>
  <c r="C114" i="2" s="1"/>
  <c r="D114" i="2" l="1"/>
  <c r="E114" i="2" s="1"/>
  <c r="F114" i="2" s="1"/>
  <c r="C115" i="2" s="1"/>
  <c r="G113" i="2"/>
  <c r="G114" i="2" l="1"/>
  <c r="D115" i="2"/>
  <c r="E115" i="2" s="1"/>
  <c r="F115" i="2" s="1"/>
  <c r="C116" i="2" s="1"/>
  <c r="D116" i="2" l="1"/>
  <c r="E116" i="2" s="1"/>
  <c r="F116" i="2" s="1"/>
  <c r="C117" i="2" s="1"/>
  <c r="G115" i="2"/>
  <c r="G116" i="2" l="1"/>
  <c r="D117" i="2"/>
  <c r="E117" i="2" s="1"/>
  <c r="F117" i="2" s="1"/>
  <c r="C118" i="2" l="1"/>
  <c r="D118" i="2" s="1"/>
  <c r="E118" i="2" s="1"/>
  <c r="F118" i="2" s="1"/>
  <c r="C119" i="2" s="1"/>
  <c r="G117" i="2"/>
  <c r="Q23" i="14" l="1"/>
  <c r="C58" i="1"/>
  <c r="B62" i="1" s="1"/>
  <c r="G118" i="2"/>
  <c r="D119" i="2"/>
  <c r="E119" i="2" s="1"/>
  <c r="F119" i="2" s="1"/>
  <c r="C120" i="2" s="1"/>
  <c r="D38" i="14" l="1"/>
  <c r="C43" i="14" s="1"/>
  <c r="C62" i="1"/>
  <c r="C63" i="1" s="1"/>
  <c r="P51" i="1" s="1"/>
  <c r="Q51" i="1" s="1"/>
  <c r="B63" i="1"/>
  <c r="P50" i="1" s="1"/>
  <c r="Q50" i="1" s="1"/>
  <c r="D120" i="2"/>
  <c r="E120" i="2" s="1"/>
  <c r="F120" i="2" s="1"/>
  <c r="C121" i="2" s="1"/>
  <c r="G119" i="2"/>
  <c r="D43" i="14" l="1"/>
  <c r="D44" i="14" s="1"/>
  <c r="Q26" i="14" s="1"/>
  <c r="C44" i="14"/>
  <c r="Q25" i="14" s="1"/>
  <c r="G120" i="2"/>
  <c r="D121" i="2"/>
  <c r="E121" i="2" s="1"/>
  <c r="F121" i="2" s="1"/>
  <c r="C122" i="2" s="1"/>
  <c r="D122" i="2" l="1"/>
  <c r="E122" i="2" s="1"/>
  <c r="F122" i="2" s="1"/>
  <c r="C123" i="2" s="1"/>
  <c r="G121" i="2"/>
  <c r="G122" i="2" l="1"/>
  <c r="D123" i="2"/>
  <c r="E123" i="2" s="1"/>
  <c r="F123" i="2" s="1"/>
  <c r="C124" i="2" s="1"/>
  <c r="D124" i="2" l="1"/>
  <c r="E124" i="2" s="1"/>
  <c r="F124" i="2" s="1"/>
  <c r="C125" i="2" s="1"/>
  <c r="G123" i="2"/>
  <c r="G124" i="2" l="1"/>
  <c r="D125" i="2"/>
  <c r="E125" i="2" s="1"/>
  <c r="F125" i="2" s="1"/>
  <c r="C126" i="2" s="1"/>
  <c r="D126" i="2" l="1"/>
  <c r="E126" i="2" s="1"/>
  <c r="F126" i="2" s="1"/>
  <c r="C127" i="2" s="1"/>
  <c r="G125" i="2"/>
  <c r="G126" i="2" l="1"/>
  <c r="D127" i="2"/>
  <c r="E127" i="2" s="1"/>
  <c r="F127" i="2" s="1"/>
  <c r="C128" i="2" s="1"/>
  <c r="D128" i="2" l="1"/>
  <c r="E128" i="2" s="1"/>
  <c r="F128" i="2" s="1"/>
  <c r="C129" i="2" s="1"/>
  <c r="G127" i="2"/>
  <c r="G128" i="2" l="1"/>
  <c r="D129" i="2"/>
  <c r="E129" i="2" s="1"/>
  <c r="F129" i="2" s="1"/>
  <c r="C130" i="2" s="1"/>
  <c r="D130" i="2" l="1"/>
  <c r="E130" i="2" s="1"/>
  <c r="F130" i="2" s="1"/>
  <c r="C131" i="2" s="1"/>
  <c r="G129" i="2"/>
  <c r="G130" i="2" l="1"/>
  <c r="D131" i="2"/>
  <c r="E131" i="2" s="1"/>
  <c r="F131" i="2" s="1"/>
  <c r="C132" i="2" s="1"/>
  <c r="D132" i="2" l="1"/>
  <c r="E132" i="2" s="1"/>
  <c r="F132" i="2" s="1"/>
  <c r="C133" i="2" s="1"/>
  <c r="G131" i="2"/>
  <c r="G132" i="2" l="1"/>
  <c r="D133" i="2"/>
  <c r="E133" i="2" s="1"/>
  <c r="F133" i="2" s="1"/>
  <c r="C134" i="2" s="1"/>
  <c r="D134" i="2" l="1"/>
  <c r="E134" i="2" s="1"/>
  <c r="F134" i="2" s="1"/>
  <c r="C135" i="2" s="1"/>
  <c r="G133" i="2"/>
  <c r="G134" i="2" l="1"/>
  <c r="D135" i="2"/>
  <c r="E135" i="2" s="1"/>
  <c r="F135" i="2" s="1"/>
  <c r="C136" i="2" s="1"/>
  <c r="D136" i="2" l="1"/>
  <c r="E136" i="2" s="1"/>
  <c r="F136" i="2" s="1"/>
  <c r="C137" i="2" s="1"/>
  <c r="G135" i="2"/>
  <c r="G136" i="2" l="1"/>
  <c r="D137" i="2"/>
  <c r="E137" i="2" s="1"/>
  <c r="F137" i="2" s="1"/>
  <c r="C138" i="2" s="1"/>
  <c r="D138" i="2" l="1"/>
  <c r="E138" i="2" s="1"/>
  <c r="F138" i="2" s="1"/>
  <c r="C139" i="2" s="1"/>
  <c r="G137" i="2"/>
  <c r="G138" i="2" l="1"/>
  <c r="D139" i="2"/>
  <c r="E139" i="2" s="1"/>
  <c r="F139" i="2" s="1"/>
  <c r="C140" i="2" s="1"/>
  <c r="D140" i="2" l="1"/>
  <c r="E140" i="2" s="1"/>
  <c r="F140" i="2" s="1"/>
  <c r="C141" i="2" s="1"/>
  <c r="G139" i="2"/>
  <c r="G140" i="2" l="1"/>
  <c r="D141" i="2"/>
  <c r="E141" i="2" s="1"/>
  <c r="F141" i="2" s="1"/>
  <c r="C142" i="2" s="1"/>
  <c r="D142" i="2" l="1"/>
  <c r="E142" i="2" s="1"/>
  <c r="F142" i="2" s="1"/>
  <c r="C143" i="2" s="1"/>
  <c r="G141" i="2"/>
  <c r="G142" i="2" l="1"/>
  <c r="D143" i="2"/>
  <c r="E143" i="2" s="1"/>
  <c r="F143" i="2" s="1"/>
  <c r="C144" i="2" s="1"/>
  <c r="D144" i="2" l="1"/>
  <c r="E144" i="2" s="1"/>
  <c r="F144" i="2" s="1"/>
  <c r="C145" i="2" s="1"/>
  <c r="G143" i="2"/>
  <c r="G144" i="2" l="1"/>
  <c r="D145" i="2"/>
  <c r="E145" i="2" s="1"/>
  <c r="F145" i="2" s="1"/>
  <c r="C146" i="2" s="1"/>
  <c r="D146" i="2" l="1"/>
  <c r="E146" i="2" s="1"/>
  <c r="F146" i="2" s="1"/>
  <c r="C147" i="2" s="1"/>
  <c r="G145" i="2"/>
  <c r="G146" i="2" l="1"/>
  <c r="D147" i="2"/>
  <c r="E147" i="2" s="1"/>
  <c r="F147" i="2" s="1"/>
  <c r="C148" i="2" s="1"/>
  <c r="D148" i="2" l="1"/>
  <c r="E148" i="2" s="1"/>
  <c r="F148" i="2" s="1"/>
  <c r="C149" i="2" s="1"/>
  <c r="G147" i="2"/>
  <c r="G148" i="2" l="1"/>
  <c r="D149" i="2"/>
  <c r="E149" i="2" s="1"/>
  <c r="F149" i="2" s="1"/>
  <c r="C150" i="2" s="1"/>
  <c r="D150" i="2" l="1"/>
  <c r="E150" i="2" s="1"/>
  <c r="F150" i="2" s="1"/>
  <c r="C151" i="2" s="1"/>
  <c r="G149" i="2"/>
  <c r="G150" i="2" l="1"/>
  <c r="D151" i="2"/>
  <c r="E151" i="2" s="1"/>
  <c r="F151" i="2" s="1"/>
  <c r="C152" i="2" s="1"/>
  <c r="G151" i="2" l="1"/>
  <c r="D152" i="2"/>
  <c r="E152" i="2" s="1"/>
  <c r="F152" i="2" s="1"/>
  <c r="C153" i="2" s="1"/>
  <c r="G152" i="2" l="1"/>
  <c r="D153" i="2"/>
  <c r="E153" i="2" s="1"/>
  <c r="F153" i="2" s="1"/>
  <c r="C154" i="2" s="1"/>
  <c r="G153" i="2" l="1"/>
  <c r="D154" i="2"/>
  <c r="E154" i="2" s="1"/>
  <c r="F154" i="2" s="1"/>
  <c r="C155" i="2" s="1"/>
  <c r="G154" i="2" l="1"/>
  <c r="D155" i="2"/>
  <c r="E155" i="2" s="1"/>
  <c r="F155" i="2" s="1"/>
  <c r="C156" i="2" s="1"/>
  <c r="G155" i="2" l="1"/>
  <c r="D156" i="2"/>
  <c r="E156" i="2" s="1"/>
  <c r="F156" i="2" s="1"/>
  <c r="C157" i="2" s="1"/>
  <c r="G156" i="2" l="1"/>
  <c r="D157" i="2"/>
  <c r="E157" i="2" s="1"/>
  <c r="F157" i="2" s="1"/>
  <c r="C158" i="2" s="1"/>
  <c r="D158" i="2" l="1"/>
  <c r="E158" i="2" s="1"/>
  <c r="F158" i="2" s="1"/>
  <c r="C159" i="2" s="1"/>
  <c r="G157" i="2"/>
  <c r="G158" i="2" l="1"/>
  <c r="D159" i="2"/>
  <c r="E159" i="2" s="1"/>
  <c r="F159" i="2" s="1"/>
  <c r="C160" i="2" s="1"/>
  <c r="G159" i="2" l="1"/>
  <c r="D160" i="2"/>
  <c r="E160" i="2" s="1"/>
  <c r="F160" i="2" s="1"/>
  <c r="C161" i="2" s="1"/>
  <c r="D161" i="2" l="1"/>
  <c r="E161" i="2" s="1"/>
  <c r="F161" i="2" s="1"/>
  <c r="C162" i="2" s="1"/>
  <c r="G160" i="2"/>
  <c r="G161" i="2" l="1"/>
  <c r="D162" i="2"/>
  <c r="E162" i="2" s="1"/>
  <c r="F162" i="2" s="1"/>
  <c r="C163" i="2" s="1"/>
  <c r="D163" i="2" l="1"/>
  <c r="E163" i="2" s="1"/>
  <c r="F163" i="2" s="1"/>
  <c r="C164" i="2" s="1"/>
  <c r="G162" i="2"/>
  <c r="G163" i="2" l="1"/>
  <c r="D164" i="2"/>
  <c r="E164" i="2" s="1"/>
  <c r="F164" i="2" s="1"/>
  <c r="C165" i="2" s="1"/>
  <c r="G164" i="2" l="1"/>
  <c r="D165" i="2"/>
  <c r="E165" i="2" s="1"/>
  <c r="F165" i="2" s="1"/>
  <c r="C166" i="2" s="1"/>
  <c r="G165" i="2" l="1"/>
  <c r="D166" i="2"/>
  <c r="E166" i="2" s="1"/>
  <c r="F166" i="2" s="1"/>
  <c r="C167" i="2" s="1"/>
  <c r="G166" i="2" l="1"/>
  <c r="D167" i="2"/>
  <c r="E167" i="2" s="1"/>
  <c r="F167" i="2" s="1"/>
  <c r="C168" i="2" s="1"/>
  <c r="G167" i="2" l="1"/>
  <c r="D168" i="2"/>
  <c r="E168" i="2" s="1"/>
  <c r="F168" i="2" s="1"/>
  <c r="C169" i="2" s="1"/>
  <c r="G168" i="2" l="1"/>
  <c r="D169" i="2"/>
  <c r="E169" i="2" s="1"/>
  <c r="F169" i="2" s="1"/>
  <c r="C170" i="2" s="1"/>
  <c r="D170" i="2" l="1"/>
  <c r="E170" i="2" s="1"/>
  <c r="F170" i="2" s="1"/>
  <c r="C171" i="2" s="1"/>
  <c r="G169" i="2"/>
  <c r="G170" i="2" l="1"/>
  <c r="D171" i="2"/>
  <c r="E171" i="2" s="1"/>
  <c r="F171" i="2" s="1"/>
  <c r="C172" i="2" s="1"/>
  <c r="G171" i="2" l="1"/>
  <c r="D172" i="2"/>
  <c r="E172" i="2" s="1"/>
  <c r="F172" i="2" s="1"/>
  <c r="C173" i="2" s="1"/>
  <c r="G172" i="2" l="1"/>
  <c r="D173" i="2"/>
  <c r="E173" i="2" s="1"/>
  <c r="F173" i="2" s="1"/>
  <c r="C174" i="2" s="1"/>
  <c r="G173" i="2" l="1"/>
  <c r="D174" i="2"/>
  <c r="E174" i="2" s="1"/>
  <c r="F174" i="2" s="1"/>
  <c r="C175" i="2" s="1"/>
  <c r="G174" i="2" l="1"/>
  <c r="D175" i="2"/>
  <c r="E175" i="2" s="1"/>
  <c r="F175" i="2" s="1"/>
  <c r="C176" i="2" s="1"/>
  <c r="G175" i="2" l="1"/>
  <c r="D176" i="2"/>
  <c r="E176" i="2" s="1"/>
  <c r="F176" i="2" s="1"/>
  <c r="C177" i="2" s="1"/>
  <c r="G176" i="2" l="1"/>
  <c r="D177" i="2"/>
  <c r="E177" i="2" s="1"/>
  <c r="F177" i="2" s="1"/>
  <c r="C178" i="2" s="1"/>
  <c r="G177" i="2" l="1"/>
  <c r="D178" i="2"/>
  <c r="E178" i="2" s="1"/>
  <c r="F178" i="2" s="1"/>
  <c r="C179" i="2" s="1"/>
  <c r="G178" i="2" l="1"/>
  <c r="D179" i="2"/>
  <c r="E179" i="2" s="1"/>
  <c r="F179" i="2" s="1"/>
  <c r="C180" i="2" s="1"/>
  <c r="G179" i="2" l="1"/>
  <c r="D180" i="2"/>
  <c r="E180" i="2" s="1"/>
  <c r="F180" i="2" s="1"/>
  <c r="C181" i="2" s="1"/>
  <c r="G180" i="2" l="1"/>
  <c r="D181" i="2"/>
  <c r="E181" i="2" s="1"/>
  <c r="F181" i="2" s="1"/>
  <c r="C182" i="2" s="1"/>
  <c r="G181" i="2" l="1"/>
  <c r="D182" i="2"/>
  <c r="E182" i="2" s="1"/>
  <c r="F182" i="2" s="1"/>
  <c r="C183" i="2" s="1"/>
  <c r="G182" i="2" l="1"/>
  <c r="D183" i="2"/>
  <c r="E183" i="2" s="1"/>
  <c r="F183" i="2" s="1"/>
  <c r="C184" i="2" s="1"/>
  <c r="G183" i="2" l="1"/>
  <c r="D184" i="2"/>
  <c r="E184" i="2" s="1"/>
  <c r="F184" i="2" s="1"/>
  <c r="C185" i="2" s="1"/>
  <c r="G184" i="2" l="1"/>
  <c r="D185" i="2"/>
  <c r="E185" i="2" s="1"/>
  <c r="F185" i="2" s="1"/>
  <c r="C186" i="2" s="1"/>
  <c r="G185" i="2" l="1"/>
  <c r="D186" i="2"/>
  <c r="E186" i="2" s="1"/>
  <c r="F186" i="2" s="1"/>
  <c r="C187" i="2" s="1"/>
  <c r="G186" i="2" l="1"/>
  <c r="D187" i="2"/>
  <c r="E187" i="2" s="1"/>
  <c r="F187" i="2" s="1"/>
  <c r="C188" i="2" s="1"/>
  <c r="G187" i="2" l="1"/>
  <c r="D188" i="2"/>
  <c r="E188" i="2" s="1"/>
  <c r="F188" i="2" s="1"/>
  <c r="C189" i="2" s="1"/>
  <c r="G188" i="2" l="1"/>
  <c r="D189" i="2"/>
  <c r="E189" i="2" s="1"/>
  <c r="F189" i="2" s="1"/>
  <c r="C190" i="2" s="1"/>
  <c r="G189" i="2" l="1"/>
  <c r="D190" i="2"/>
  <c r="E190" i="2" s="1"/>
  <c r="F190" i="2" s="1"/>
  <c r="C191" i="2" s="1"/>
  <c r="G190" i="2" l="1"/>
  <c r="D191" i="2"/>
  <c r="E191" i="2" s="1"/>
  <c r="F191" i="2" s="1"/>
  <c r="C192" i="2" s="1"/>
  <c r="G191" i="2" l="1"/>
  <c r="D192" i="2"/>
  <c r="E192" i="2" s="1"/>
  <c r="F192" i="2" s="1"/>
  <c r="C193" i="2" s="1"/>
  <c r="G192" i="2" l="1"/>
  <c r="D193" i="2"/>
  <c r="E193" i="2" s="1"/>
  <c r="F193" i="2" s="1"/>
  <c r="C194" i="2" s="1"/>
  <c r="G193" i="2" l="1"/>
  <c r="D194" i="2"/>
  <c r="E194" i="2" s="1"/>
  <c r="F194" i="2" s="1"/>
  <c r="C195" i="2" s="1"/>
  <c r="G194" i="2" l="1"/>
  <c r="D195" i="2"/>
  <c r="E195" i="2" s="1"/>
  <c r="F195" i="2" s="1"/>
  <c r="C196" i="2" s="1"/>
  <c r="G195" i="2" l="1"/>
  <c r="D196" i="2"/>
  <c r="E196" i="2" s="1"/>
  <c r="F196" i="2" s="1"/>
  <c r="C197" i="2" s="1"/>
  <c r="G196" i="2" l="1"/>
  <c r="D197" i="2"/>
  <c r="E197" i="2" s="1"/>
  <c r="F197" i="2" s="1"/>
  <c r="C198" i="2" s="1"/>
  <c r="G197" i="2" l="1"/>
  <c r="D198" i="2"/>
  <c r="E198" i="2" s="1"/>
  <c r="F198" i="2" s="1"/>
  <c r="C199" i="2" s="1"/>
  <c r="G198" i="2" l="1"/>
  <c r="D199" i="2"/>
  <c r="E199" i="2" s="1"/>
  <c r="F199" i="2" s="1"/>
  <c r="C200" i="2" s="1"/>
  <c r="G199" i="2" l="1"/>
  <c r="D200" i="2"/>
  <c r="E200" i="2" s="1"/>
  <c r="F200" i="2" s="1"/>
  <c r="C201" i="2" s="1"/>
  <c r="G200" i="2" l="1"/>
  <c r="D201" i="2"/>
  <c r="E201" i="2" s="1"/>
  <c r="F201" i="2" s="1"/>
  <c r="C202" i="2" s="1"/>
  <c r="G201" i="2" l="1"/>
  <c r="D202" i="2"/>
  <c r="E202" i="2" s="1"/>
  <c r="F202" i="2" s="1"/>
  <c r="C203" i="2" s="1"/>
  <c r="G202" i="2" l="1"/>
  <c r="D203" i="2"/>
  <c r="E203" i="2" s="1"/>
  <c r="F203" i="2" s="1"/>
  <c r="C204" i="2" s="1"/>
  <c r="G203" i="2" l="1"/>
  <c r="D204" i="2"/>
  <c r="E204" i="2" s="1"/>
  <c r="F204" i="2" s="1"/>
  <c r="C205" i="2" s="1"/>
  <c r="G204" i="2" l="1"/>
  <c r="D205" i="2"/>
  <c r="E205" i="2" s="1"/>
  <c r="F205" i="2" s="1"/>
  <c r="C206" i="2" s="1"/>
  <c r="G205" i="2" l="1"/>
  <c r="D206" i="2"/>
  <c r="E206" i="2" s="1"/>
  <c r="F206" i="2" s="1"/>
  <c r="C207" i="2" s="1"/>
  <c r="G206" i="2" l="1"/>
  <c r="D207" i="2"/>
  <c r="E207" i="2" s="1"/>
  <c r="F207" i="2" s="1"/>
  <c r="C208" i="2" s="1"/>
  <c r="D208" i="2" l="1"/>
  <c r="E208" i="2" s="1"/>
  <c r="F208" i="2" s="1"/>
  <c r="C209" i="2" s="1"/>
  <c r="G207" i="2"/>
  <c r="G208" i="2" l="1"/>
  <c r="D209" i="2"/>
  <c r="E209" i="2" s="1"/>
  <c r="F209" i="2" s="1"/>
  <c r="C210" i="2" s="1"/>
  <c r="G209" i="2" l="1"/>
  <c r="D210" i="2"/>
  <c r="E210" i="2" s="1"/>
  <c r="F210" i="2" s="1"/>
  <c r="C211" i="2" s="1"/>
  <c r="G210" i="2" l="1"/>
  <c r="D211" i="2"/>
  <c r="E211" i="2" s="1"/>
  <c r="F211" i="2" s="1"/>
  <c r="C212" i="2" s="1"/>
  <c r="G211" i="2" l="1"/>
  <c r="D212" i="2"/>
  <c r="E212" i="2" s="1"/>
  <c r="F212" i="2" s="1"/>
  <c r="C213" i="2" s="1"/>
  <c r="D213" i="2" l="1"/>
  <c r="E213" i="2" s="1"/>
  <c r="F213" i="2" s="1"/>
  <c r="C214" i="2" s="1"/>
  <c r="G212" i="2"/>
  <c r="G213" i="2" l="1"/>
  <c r="D214" i="2"/>
  <c r="E214" i="2" s="1"/>
  <c r="F214" i="2" s="1"/>
  <c r="C215" i="2" s="1"/>
  <c r="G214" i="2" l="1"/>
  <c r="D215" i="2"/>
  <c r="E215" i="2" s="1"/>
  <c r="F215" i="2" s="1"/>
  <c r="C216" i="2" s="1"/>
  <c r="G215" i="2" l="1"/>
  <c r="D216" i="2"/>
  <c r="E216" i="2" s="1"/>
  <c r="F216" i="2" s="1"/>
  <c r="C217" i="2" s="1"/>
  <c r="D217" i="2" l="1"/>
  <c r="E217" i="2" s="1"/>
  <c r="F217" i="2" s="1"/>
  <c r="C218" i="2" s="1"/>
  <c r="G216" i="2"/>
  <c r="G217" i="2" l="1"/>
  <c r="D218" i="2"/>
  <c r="E218" i="2" s="1"/>
  <c r="F218" i="2" s="1"/>
  <c r="C219" i="2" s="1"/>
  <c r="G218" i="2" l="1"/>
  <c r="D219" i="2"/>
  <c r="E219" i="2" s="1"/>
  <c r="F219" i="2" s="1"/>
  <c r="C220" i="2" s="1"/>
  <c r="G219" i="2" l="1"/>
  <c r="D220" i="2"/>
  <c r="E220" i="2" s="1"/>
  <c r="F220" i="2" s="1"/>
  <c r="C221" i="2" s="1"/>
  <c r="G220" i="2" l="1"/>
  <c r="D221" i="2"/>
  <c r="E221" i="2" s="1"/>
  <c r="F221" i="2" s="1"/>
  <c r="C222" i="2" s="1"/>
  <c r="D222" i="2" l="1"/>
  <c r="E222" i="2" s="1"/>
  <c r="F222" i="2" s="1"/>
  <c r="C223" i="2" s="1"/>
  <c r="G221" i="2"/>
  <c r="G222" i="2" l="1"/>
  <c r="D223" i="2"/>
  <c r="E223" i="2" s="1"/>
  <c r="F223" i="2" s="1"/>
  <c r="C224" i="2" s="1"/>
  <c r="G223" i="2" l="1"/>
  <c r="D224" i="2"/>
  <c r="E224" i="2" s="1"/>
  <c r="F224" i="2" s="1"/>
  <c r="C225" i="2" s="1"/>
  <c r="G224" i="2" l="1"/>
  <c r="D225" i="2"/>
  <c r="E225" i="2" s="1"/>
  <c r="F225" i="2" s="1"/>
  <c r="C226" i="2" s="1"/>
  <c r="G225" i="2" l="1"/>
  <c r="D226" i="2"/>
  <c r="E226" i="2" s="1"/>
  <c r="F226" i="2" s="1"/>
  <c r="C227" i="2" s="1"/>
  <c r="G226" i="2" l="1"/>
  <c r="D227" i="2"/>
  <c r="E227" i="2" s="1"/>
  <c r="F227" i="2" s="1"/>
  <c r="C228" i="2" s="1"/>
  <c r="D228" i="2" l="1"/>
  <c r="E228" i="2" s="1"/>
  <c r="F228" i="2" s="1"/>
  <c r="C229" i="2" s="1"/>
  <c r="G227" i="2"/>
  <c r="D229" i="2" l="1"/>
  <c r="E229" i="2" s="1"/>
  <c r="F229" i="2" s="1"/>
  <c r="C230" i="2" s="1"/>
  <c r="G228" i="2"/>
  <c r="G229" i="2" l="1"/>
  <c r="D230" i="2"/>
  <c r="E230" i="2" s="1"/>
  <c r="F230" i="2" s="1"/>
  <c r="C231" i="2" s="1"/>
  <c r="G230" i="2" l="1"/>
  <c r="D231" i="2"/>
  <c r="E231" i="2" s="1"/>
  <c r="F231" i="2" s="1"/>
  <c r="C232" i="2" s="1"/>
  <c r="G231" i="2" l="1"/>
  <c r="D232" i="2"/>
  <c r="E232" i="2" s="1"/>
  <c r="F232" i="2" s="1"/>
  <c r="C233" i="2" s="1"/>
  <c r="D233" i="2" l="1"/>
  <c r="E233" i="2" s="1"/>
  <c r="F233" i="2" s="1"/>
  <c r="C234" i="2" s="1"/>
  <c r="G232" i="2"/>
  <c r="G233" i="2" l="1"/>
  <c r="D234" i="2"/>
  <c r="E234" i="2" s="1"/>
  <c r="F234" i="2" s="1"/>
  <c r="C235" i="2" s="1"/>
  <c r="G234" i="2" l="1"/>
  <c r="D235" i="2"/>
  <c r="E235" i="2" s="1"/>
  <c r="F235" i="2" s="1"/>
  <c r="C236" i="2" s="1"/>
  <c r="G235" i="2" l="1"/>
  <c r="D236" i="2"/>
  <c r="E236" i="2" s="1"/>
  <c r="F236" i="2" s="1"/>
  <c r="C237" i="2" s="1"/>
  <c r="G236" i="2" l="1"/>
  <c r="D237" i="2"/>
  <c r="E237" i="2" s="1"/>
  <c r="F237" i="2" s="1"/>
  <c r="C238" i="2" s="1"/>
  <c r="D238" i="2" l="1"/>
  <c r="E238" i="2" s="1"/>
  <c r="F238" i="2" s="1"/>
  <c r="C239" i="2" s="1"/>
  <c r="G237" i="2"/>
  <c r="G238" i="2" l="1"/>
  <c r="D239" i="2"/>
  <c r="E239" i="2" s="1"/>
  <c r="F239" i="2" s="1"/>
  <c r="C240" i="2" s="1"/>
  <c r="G239" i="2" l="1"/>
  <c r="D240" i="2"/>
  <c r="E240" i="2" s="1"/>
  <c r="F240" i="2" s="1"/>
  <c r="C241" i="2" s="1"/>
  <c r="G240" i="2" l="1"/>
  <c r="D241" i="2"/>
  <c r="E241" i="2" s="1"/>
  <c r="F241" i="2" s="1"/>
  <c r="C242" i="2" s="1"/>
  <c r="G241" i="2" l="1"/>
  <c r="D242" i="2"/>
  <c r="E242" i="2" s="1"/>
  <c r="F242" i="2" s="1"/>
  <c r="C243" i="2" s="1"/>
  <c r="G242" i="2" l="1"/>
  <c r="D243" i="2"/>
  <c r="E243" i="2" s="1"/>
  <c r="F243" i="2" s="1"/>
  <c r="C244" i="2" s="1"/>
  <c r="G243" i="2" l="1"/>
  <c r="D244" i="2"/>
  <c r="E244" i="2" s="1"/>
  <c r="F244" i="2" s="1"/>
  <c r="C245" i="2" s="1"/>
  <c r="G244" i="2" l="1"/>
  <c r="D245" i="2"/>
  <c r="E245" i="2" s="1"/>
  <c r="F245" i="2" s="1"/>
  <c r="C246" i="2" s="1"/>
  <c r="D246" i="2" l="1"/>
  <c r="E246" i="2" s="1"/>
  <c r="F246" i="2" s="1"/>
  <c r="C247" i="2" s="1"/>
  <c r="G245" i="2"/>
  <c r="G246" i="2" l="1"/>
  <c r="D247" i="2"/>
  <c r="E247" i="2" s="1"/>
  <c r="F247" i="2" s="1"/>
  <c r="C248" i="2" s="1"/>
  <c r="G247" i="2" l="1"/>
  <c r="D248" i="2"/>
  <c r="E248" i="2" s="1"/>
  <c r="F248" i="2" s="1"/>
  <c r="C249" i="2" s="1"/>
  <c r="G248" i="2" l="1"/>
  <c r="D249" i="2"/>
  <c r="E249" i="2" s="1"/>
  <c r="F249" i="2" s="1"/>
  <c r="C250" i="2" s="1"/>
  <c r="G249" i="2" l="1"/>
  <c r="D250" i="2"/>
  <c r="E250" i="2" s="1"/>
  <c r="F250" i="2" s="1"/>
  <c r="C251" i="2" s="1"/>
  <c r="G250" i="2" l="1"/>
  <c r="D251" i="2"/>
  <c r="E251" i="2" s="1"/>
  <c r="F251" i="2" s="1"/>
  <c r="C252" i="2" s="1"/>
  <c r="G251" i="2" l="1"/>
  <c r="D252" i="2"/>
  <c r="E252" i="2" s="1"/>
  <c r="F252" i="2" s="1"/>
  <c r="C253" i="2" s="1"/>
  <c r="G252" i="2" l="1"/>
  <c r="D253" i="2"/>
  <c r="E253" i="2" s="1"/>
  <c r="F253" i="2" s="1"/>
  <c r="C254" i="2" s="1"/>
  <c r="G253" i="2" l="1"/>
  <c r="D254" i="2"/>
  <c r="E254" i="2" s="1"/>
  <c r="F254" i="2" s="1"/>
  <c r="C255" i="2" s="1"/>
  <c r="G254" i="2" l="1"/>
  <c r="D255" i="2"/>
  <c r="E255" i="2" s="1"/>
  <c r="F255" i="2" s="1"/>
  <c r="C256" i="2" s="1"/>
  <c r="G255" i="2" l="1"/>
  <c r="D256" i="2"/>
  <c r="E256" i="2" s="1"/>
  <c r="F256" i="2" s="1"/>
  <c r="C257" i="2" s="1"/>
  <c r="G256" i="2" l="1"/>
  <c r="D257" i="2"/>
  <c r="E257" i="2" s="1"/>
  <c r="F257" i="2" s="1"/>
  <c r="C258" i="2" s="1"/>
  <c r="G257" i="2" l="1"/>
  <c r="D258" i="2"/>
  <c r="E258" i="2" s="1"/>
  <c r="F258" i="2" s="1"/>
  <c r="C259" i="2" s="1"/>
  <c r="G258" i="2" l="1"/>
  <c r="D259" i="2"/>
  <c r="E259" i="2" s="1"/>
  <c r="F259" i="2" s="1"/>
  <c r="C260" i="2" s="1"/>
  <c r="G259" i="2" l="1"/>
  <c r="D260" i="2"/>
  <c r="E260" i="2" s="1"/>
  <c r="F260" i="2" s="1"/>
  <c r="C261" i="2" s="1"/>
  <c r="G260" i="2" l="1"/>
  <c r="D261" i="2"/>
  <c r="E261" i="2" s="1"/>
  <c r="F261" i="2" s="1"/>
  <c r="C262" i="2" s="1"/>
  <c r="G261" i="2" l="1"/>
  <c r="D262" i="2"/>
  <c r="E262" i="2" s="1"/>
  <c r="F262" i="2" s="1"/>
  <c r="C263" i="2" s="1"/>
  <c r="G262" i="2" l="1"/>
  <c r="D263" i="2"/>
  <c r="E263" i="2" s="1"/>
  <c r="F263" i="2" s="1"/>
  <c r="C264" i="2" s="1"/>
  <c r="G263" i="2" l="1"/>
  <c r="D264" i="2"/>
  <c r="E264" i="2" s="1"/>
  <c r="F264" i="2" s="1"/>
  <c r="C265" i="2" s="1"/>
  <c r="G264" i="2" l="1"/>
  <c r="D265" i="2"/>
  <c r="E265" i="2" s="1"/>
  <c r="F265" i="2" s="1"/>
  <c r="C266" i="2" s="1"/>
  <c r="G265" i="2" l="1"/>
  <c r="D266" i="2"/>
  <c r="E266" i="2" s="1"/>
  <c r="F266" i="2" s="1"/>
  <c r="C267" i="2" s="1"/>
  <c r="G266" i="2" l="1"/>
  <c r="D267" i="2"/>
  <c r="E267" i="2" s="1"/>
  <c r="F267" i="2" s="1"/>
  <c r="C268" i="2" s="1"/>
  <c r="G267" i="2" l="1"/>
  <c r="D268" i="2"/>
  <c r="E268" i="2" s="1"/>
  <c r="F268" i="2" s="1"/>
  <c r="C269" i="2" s="1"/>
  <c r="G268" i="2" l="1"/>
  <c r="D269" i="2"/>
  <c r="E269" i="2" s="1"/>
  <c r="F269" i="2" s="1"/>
  <c r="C270" i="2" s="1"/>
  <c r="G269" i="2" l="1"/>
  <c r="D270" i="2"/>
  <c r="E270" i="2" s="1"/>
  <c r="F270" i="2" s="1"/>
  <c r="C271" i="2" s="1"/>
  <c r="G270" i="2" l="1"/>
  <c r="D271" i="2"/>
  <c r="E271" i="2" s="1"/>
  <c r="F271" i="2" s="1"/>
  <c r="C272" i="2" s="1"/>
  <c r="G271" i="2" l="1"/>
  <c r="D272" i="2"/>
  <c r="E272" i="2" s="1"/>
  <c r="F272" i="2" s="1"/>
  <c r="C273" i="2" s="1"/>
  <c r="G272" i="2" l="1"/>
  <c r="D273" i="2"/>
  <c r="E273" i="2" s="1"/>
  <c r="F273" i="2" s="1"/>
  <c r="C274" i="2" s="1"/>
  <c r="G273" i="2" l="1"/>
  <c r="D274" i="2"/>
  <c r="E274" i="2" s="1"/>
  <c r="F274" i="2" s="1"/>
  <c r="C275" i="2" s="1"/>
  <c r="G274" i="2" l="1"/>
  <c r="D275" i="2"/>
  <c r="E275" i="2" s="1"/>
  <c r="F275" i="2" s="1"/>
  <c r="C276" i="2" s="1"/>
  <c r="G275" i="2" l="1"/>
  <c r="D276" i="2"/>
  <c r="E276" i="2" s="1"/>
  <c r="F276" i="2" s="1"/>
  <c r="C277" i="2" s="1"/>
  <c r="G276" i="2" l="1"/>
  <c r="D277" i="2"/>
  <c r="E277" i="2" s="1"/>
  <c r="F277" i="2" s="1"/>
  <c r="C278" i="2" s="1"/>
  <c r="G277" i="2" l="1"/>
  <c r="D278" i="2"/>
  <c r="E278" i="2" s="1"/>
  <c r="F278" i="2" s="1"/>
  <c r="C279" i="2" s="1"/>
  <c r="D279" i="2" l="1"/>
  <c r="E279" i="2" s="1"/>
  <c r="F279" i="2" s="1"/>
  <c r="C280" i="2" s="1"/>
  <c r="G278" i="2"/>
  <c r="G279" i="2" l="1"/>
  <c r="D280" i="2"/>
  <c r="E280" i="2" s="1"/>
  <c r="F280" i="2" s="1"/>
  <c r="C281" i="2" s="1"/>
  <c r="G280" i="2" l="1"/>
  <c r="D281" i="2"/>
  <c r="E281" i="2" s="1"/>
  <c r="F281" i="2" s="1"/>
  <c r="C282" i="2" s="1"/>
  <c r="G281" i="2" l="1"/>
  <c r="D282" i="2"/>
  <c r="E282" i="2" s="1"/>
  <c r="F282" i="2" s="1"/>
  <c r="C283" i="2" s="1"/>
  <c r="G282" i="2" l="1"/>
  <c r="D283" i="2"/>
  <c r="E283" i="2" s="1"/>
  <c r="F283" i="2" s="1"/>
  <c r="C284" i="2" s="1"/>
  <c r="G283" i="2" l="1"/>
  <c r="D284" i="2"/>
  <c r="E284" i="2" s="1"/>
  <c r="F284" i="2" s="1"/>
  <c r="C285" i="2" s="1"/>
  <c r="G284" i="2" l="1"/>
  <c r="D285" i="2"/>
  <c r="E285" i="2" s="1"/>
  <c r="F285" i="2" s="1"/>
  <c r="C286" i="2" s="1"/>
  <c r="G285" i="2" l="1"/>
  <c r="D286" i="2"/>
  <c r="E286" i="2" s="1"/>
  <c r="F286" i="2" s="1"/>
  <c r="C287" i="2" s="1"/>
  <c r="G286" i="2" l="1"/>
  <c r="D287" i="2"/>
  <c r="E287" i="2" s="1"/>
  <c r="F287" i="2" s="1"/>
  <c r="C288" i="2" s="1"/>
  <c r="G287" i="2" l="1"/>
  <c r="D288" i="2"/>
  <c r="E288" i="2" s="1"/>
  <c r="F288" i="2" s="1"/>
  <c r="C289" i="2" s="1"/>
  <c r="G288" i="2" l="1"/>
  <c r="D289" i="2"/>
  <c r="E289" i="2" s="1"/>
  <c r="F289" i="2" s="1"/>
  <c r="C290" i="2" s="1"/>
  <c r="G289" i="2" l="1"/>
  <c r="D290" i="2"/>
  <c r="E290" i="2" s="1"/>
  <c r="F290" i="2" s="1"/>
  <c r="C291" i="2" s="1"/>
  <c r="G290" i="2" l="1"/>
  <c r="D291" i="2"/>
  <c r="E291" i="2" s="1"/>
  <c r="F291" i="2" s="1"/>
  <c r="C292" i="2" s="1"/>
  <c r="G291" i="2" l="1"/>
  <c r="D292" i="2"/>
  <c r="E292" i="2" s="1"/>
  <c r="F292" i="2" s="1"/>
  <c r="C293" i="2" s="1"/>
  <c r="G292" i="2" l="1"/>
  <c r="D293" i="2"/>
  <c r="E293" i="2" s="1"/>
  <c r="F293" i="2" s="1"/>
  <c r="C294" i="2" s="1"/>
  <c r="G293" i="2" l="1"/>
  <c r="D294" i="2"/>
  <c r="E294" i="2" s="1"/>
  <c r="F294" i="2" s="1"/>
  <c r="C295" i="2" s="1"/>
  <c r="G294" i="2" l="1"/>
  <c r="D295" i="2"/>
  <c r="E295" i="2" s="1"/>
  <c r="F295" i="2" s="1"/>
  <c r="C296" i="2" s="1"/>
  <c r="G295" i="2" l="1"/>
  <c r="D296" i="2"/>
  <c r="E296" i="2" s="1"/>
  <c r="F296" i="2" s="1"/>
  <c r="C297" i="2" s="1"/>
  <c r="G296" i="2" l="1"/>
  <c r="D297" i="2"/>
  <c r="E297" i="2" s="1"/>
  <c r="F297" i="2" s="1"/>
  <c r="C298" i="2" s="1"/>
  <c r="G297" i="2" l="1"/>
  <c r="D298" i="2"/>
  <c r="E298" i="2" s="1"/>
  <c r="F298" i="2" s="1"/>
  <c r="C299" i="2" s="1"/>
  <c r="G298" i="2" l="1"/>
  <c r="D299" i="2"/>
  <c r="E299" i="2" s="1"/>
  <c r="F299" i="2" s="1"/>
  <c r="C300" i="2" s="1"/>
  <c r="G299" i="2" l="1"/>
  <c r="D300" i="2"/>
  <c r="E300" i="2" s="1"/>
  <c r="F300" i="2" s="1"/>
  <c r="C301" i="2" s="1"/>
  <c r="G300" i="2" l="1"/>
  <c r="D301" i="2"/>
  <c r="E301" i="2" s="1"/>
  <c r="F301" i="2" s="1"/>
  <c r="C302" i="2" s="1"/>
  <c r="G301" i="2" l="1"/>
  <c r="D302" i="2"/>
  <c r="E302" i="2" s="1"/>
  <c r="F302" i="2" s="1"/>
  <c r="C303" i="2" s="1"/>
  <c r="D303" i="2" l="1"/>
  <c r="E303" i="2" s="1"/>
  <c r="F303" i="2" s="1"/>
  <c r="C304" i="2" s="1"/>
  <c r="G302" i="2"/>
  <c r="G303" i="2" l="1"/>
  <c r="D304" i="2"/>
  <c r="E304" i="2" s="1"/>
  <c r="F304" i="2" s="1"/>
  <c r="C305" i="2" s="1"/>
  <c r="D305" i="2" l="1"/>
  <c r="E305" i="2" s="1"/>
  <c r="F305" i="2" s="1"/>
  <c r="C306" i="2" s="1"/>
  <c r="G304" i="2"/>
  <c r="G305" i="2" l="1"/>
  <c r="D306" i="2"/>
  <c r="E306" i="2" s="1"/>
  <c r="F306" i="2" s="1"/>
  <c r="C307" i="2" s="1"/>
  <c r="D307" i="2" l="1"/>
  <c r="E307" i="2" s="1"/>
  <c r="F307" i="2" s="1"/>
  <c r="C308" i="2" s="1"/>
  <c r="G306" i="2"/>
  <c r="G307" i="2" l="1"/>
  <c r="D308" i="2"/>
  <c r="E308" i="2" s="1"/>
  <c r="F308" i="2" s="1"/>
  <c r="C309" i="2" s="1"/>
  <c r="G308" i="2" l="1"/>
  <c r="D309" i="2"/>
  <c r="E309" i="2" s="1"/>
  <c r="F309" i="2" s="1"/>
  <c r="C310" i="2" s="1"/>
  <c r="D310" i="2" l="1"/>
  <c r="E310" i="2" s="1"/>
  <c r="F310" i="2" s="1"/>
  <c r="C311" i="2" s="1"/>
  <c r="G309" i="2"/>
  <c r="D311" i="2" l="1"/>
  <c r="E311" i="2" s="1"/>
  <c r="F311" i="2" s="1"/>
  <c r="C312" i="2" s="1"/>
  <c r="G310" i="2"/>
  <c r="G311" i="2" l="1"/>
  <c r="D312" i="2"/>
  <c r="E312" i="2" s="1"/>
  <c r="F312" i="2" s="1"/>
  <c r="C313" i="2" s="1"/>
  <c r="G312" i="2" l="1"/>
  <c r="D313" i="2"/>
  <c r="E313" i="2" s="1"/>
  <c r="F313" i="2" s="1"/>
  <c r="C314" i="2" s="1"/>
  <c r="G313" i="2" l="1"/>
  <c r="D314" i="2"/>
  <c r="E314" i="2" s="1"/>
  <c r="F314" i="2" s="1"/>
  <c r="C315" i="2" s="1"/>
  <c r="D315" i="2" l="1"/>
  <c r="E315" i="2" s="1"/>
  <c r="F315" i="2" s="1"/>
  <c r="C316" i="2" s="1"/>
  <c r="G314" i="2"/>
  <c r="G315" i="2" l="1"/>
  <c r="D316" i="2"/>
  <c r="E316" i="2" s="1"/>
  <c r="F316" i="2" s="1"/>
  <c r="C317" i="2" s="1"/>
  <c r="G316" i="2" l="1"/>
  <c r="D317" i="2"/>
  <c r="E317" i="2" s="1"/>
  <c r="F317" i="2" s="1"/>
  <c r="C318" i="2" s="1"/>
  <c r="G317" i="2" l="1"/>
  <c r="D318" i="2"/>
  <c r="E318" i="2" s="1"/>
  <c r="F318" i="2" s="1"/>
  <c r="C319" i="2" s="1"/>
  <c r="G318" i="2" l="1"/>
  <c r="D319" i="2"/>
  <c r="E319" i="2" s="1"/>
  <c r="F319" i="2" s="1"/>
  <c r="C320" i="2" s="1"/>
  <c r="G319" i="2" l="1"/>
  <c r="D320" i="2"/>
  <c r="E320" i="2" s="1"/>
  <c r="F320" i="2" s="1"/>
  <c r="C321" i="2" s="1"/>
  <c r="D321" i="2" l="1"/>
  <c r="E321" i="2" s="1"/>
  <c r="F321" i="2" s="1"/>
  <c r="C322" i="2" s="1"/>
  <c r="G320" i="2"/>
  <c r="G321" i="2" l="1"/>
  <c r="D322" i="2"/>
  <c r="E322" i="2" s="1"/>
  <c r="F322" i="2" s="1"/>
  <c r="C323" i="2" s="1"/>
  <c r="G322" i="2" l="1"/>
  <c r="D323" i="2"/>
  <c r="E323" i="2" s="1"/>
  <c r="F323" i="2" s="1"/>
  <c r="C324" i="2" s="1"/>
  <c r="G323" i="2" l="1"/>
  <c r="D324" i="2"/>
  <c r="E324" i="2" s="1"/>
  <c r="F324" i="2" s="1"/>
  <c r="C325" i="2" s="1"/>
  <c r="G324" i="2" l="1"/>
  <c r="D325" i="2"/>
  <c r="E325" i="2" s="1"/>
  <c r="F325" i="2" s="1"/>
  <c r="C326" i="2" s="1"/>
  <c r="G325" i="2" l="1"/>
  <c r="D326" i="2"/>
  <c r="E326" i="2" s="1"/>
  <c r="F326" i="2" s="1"/>
  <c r="C327" i="2" s="1"/>
  <c r="G326" i="2" l="1"/>
  <c r="D327" i="2"/>
  <c r="E327" i="2" s="1"/>
  <c r="F327" i="2" s="1"/>
  <c r="C328" i="2" s="1"/>
  <c r="G327" i="2" l="1"/>
  <c r="D328" i="2"/>
  <c r="E328" i="2" s="1"/>
  <c r="F328" i="2" s="1"/>
  <c r="C329" i="2" s="1"/>
  <c r="G328" i="2" l="1"/>
  <c r="D329" i="2"/>
  <c r="E329" i="2" s="1"/>
  <c r="F329" i="2" s="1"/>
  <c r="C330" i="2" s="1"/>
  <c r="G329" i="2" l="1"/>
  <c r="D330" i="2"/>
  <c r="E330" i="2" s="1"/>
  <c r="F330" i="2" s="1"/>
  <c r="C331" i="2" s="1"/>
  <c r="G330" i="2" l="1"/>
  <c r="D331" i="2"/>
  <c r="E331" i="2" s="1"/>
  <c r="F331" i="2" s="1"/>
  <c r="C332" i="2" s="1"/>
  <c r="G331" i="2" l="1"/>
  <c r="D332" i="2"/>
  <c r="E332" i="2" s="1"/>
  <c r="F332" i="2" s="1"/>
  <c r="C333" i="2" s="1"/>
  <c r="G332" i="2" l="1"/>
  <c r="D333" i="2"/>
  <c r="E333" i="2" s="1"/>
  <c r="F333" i="2" s="1"/>
  <c r="C334" i="2" s="1"/>
  <c r="G333" i="2" l="1"/>
  <c r="D334" i="2"/>
  <c r="E334" i="2" s="1"/>
  <c r="F334" i="2" s="1"/>
  <c r="C335" i="2" s="1"/>
  <c r="D335" i="2" l="1"/>
  <c r="E335" i="2" s="1"/>
  <c r="F335" i="2" s="1"/>
  <c r="C336" i="2" s="1"/>
  <c r="G334" i="2"/>
  <c r="G335" i="2" l="1"/>
  <c r="D336" i="2"/>
  <c r="E336" i="2" s="1"/>
  <c r="F336" i="2" s="1"/>
  <c r="C337" i="2" s="1"/>
  <c r="G336" i="2" l="1"/>
  <c r="D337" i="2"/>
  <c r="E337" i="2" s="1"/>
  <c r="F337" i="2" s="1"/>
  <c r="C338" i="2" s="1"/>
  <c r="D338" i="2" l="1"/>
  <c r="E338" i="2" s="1"/>
  <c r="F338" i="2" s="1"/>
  <c r="C339" i="2" s="1"/>
  <c r="G337" i="2"/>
  <c r="G338" i="2" l="1"/>
  <c r="D339" i="2"/>
  <c r="E339" i="2" s="1"/>
  <c r="F339" i="2" s="1"/>
  <c r="C340" i="2" s="1"/>
  <c r="D340" i="2" l="1"/>
  <c r="E340" i="2" s="1"/>
  <c r="F340" i="2" s="1"/>
  <c r="C341" i="2" s="1"/>
  <c r="G339" i="2"/>
  <c r="G340" i="2" l="1"/>
  <c r="D341" i="2"/>
  <c r="E341" i="2" s="1"/>
  <c r="F341" i="2" s="1"/>
  <c r="C342" i="2" s="1"/>
  <c r="G341" i="2" l="1"/>
  <c r="D342" i="2"/>
  <c r="E342" i="2" s="1"/>
  <c r="F342" i="2" s="1"/>
  <c r="C343" i="2" s="1"/>
  <c r="G342" i="2" l="1"/>
  <c r="D343" i="2"/>
  <c r="E343" i="2" s="1"/>
  <c r="F343" i="2" s="1"/>
  <c r="C344" i="2" s="1"/>
  <c r="G343" i="2" l="1"/>
  <c r="D344" i="2"/>
  <c r="E344" i="2" s="1"/>
  <c r="F344" i="2" s="1"/>
  <c r="C345" i="2" s="1"/>
  <c r="D345" i="2" l="1"/>
  <c r="E345" i="2" s="1"/>
  <c r="F345" i="2" s="1"/>
  <c r="C346" i="2" s="1"/>
  <c r="G344" i="2"/>
  <c r="G345" i="2" l="1"/>
  <c r="D346" i="2"/>
  <c r="E346" i="2" s="1"/>
  <c r="F346" i="2" s="1"/>
  <c r="C347" i="2" s="1"/>
  <c r="D347" i="2" l="1"/>
  <c r="E347" i="2" s="1"/>
  <c r="F347" i="2" s="1"/>
  <c r="C348" i="2" s="1"/>
  <c r="G346" i="2"/>
  <c r="G347" i="2" l="1"/>
  <c r="D348" i="2"/>
  <c r="E348" i="2" s="1"/>
  <c r="F348" i="2" s="1"/>
  <c r="C349" i="2" s="1"/>
  <c r="G348" i="2" l="1"/>
  <c r="D349" i="2"/>
  <c r="E349" i="2" s="1"/>
  <c r="F349" i="2" s="1"/>
  <c r="C350" i="2" s="1"/>
  <c r="G349" i="2" l="1"/>
  <c r="D350" i="2"/>
  <c r="E350" i="2" s="1"/>
  <c r="F350" i="2" s="1"/>
  <c r="C351" i="2" s="1"/>
  <c r="D351" i="2" l="1"/>
  <c r="E351" i="2" s="1"/>
  <c r="F351" i="2" s="1"/>
  <c r="C352" i="2" s="1"/>
  <c r="G350" i="2"/>
  <c r="G351" i="2" l="1"/>
  <c r="D352" i="2"/>
  <c r="E352" i="2" s="1"/>
  <c r="F352" i="2" s="1"/>
  <c r="C353" i="2" s="1"/>
  <c r="G352" i="2" l="1"/>
  <c r="D353" i="2"/>
  <c r="E353" i="2" s="1"/>
  <c r="F353" i="2" s="1"/>
  <c r="C354" i="2" s="1"/>
  <c r="G353" i="2" l="1"/>
  <c r="D354" i="2"/>
  <c r="E354" i="2" s="1"/>
  <c r="F354" i="2" s="1"/>
  <c r="C355" i="2" s="1"/>
  <c r="G354" i="2" l="1"/>
  <c r="D355" i="2"/>
  <c r="E355" i="2" s="1"/>
  <c r="F355" i="2" s="1"/>
  <c r="C356" i="2" s="1"/>
  <c r="G355" i="2" l="1"/>
  <c r="D356" i="2"/>
  <c r="E356" i="2" s="1"/>
  <c r="F356" i="2" s="1"/>
  <c r="C357" i="2" s="1"/>
  <c r="G356" i="2" l="1"/>
  <c r="D357" i="2"/>
  <c r="E357" i="2" s="1"/>
  <c r="F357" i="2" s="1"/>
  <c r="C358" i="2" s="1"/>
  <c r="G357" i="2" l="1"/>
  <c r="D358" i="2"/>
  <c r="E358" i="2" s="1"/>
  <c r="F358" i="2" s="1"/>
  <c r="C359" i="2" s="1"/>
  <c r="G358" i="2" l="1"/>
  <c r="D359" i="2"/>
  <c r="E359" i="2" s="1"/>
  <c r="F359" i="2" s="1"/>
  <c r="C360" i="2" s="1"/>
  <c r="G359" i="2" l="1"/>
  <c r="D360" i="2"/>
  <c r="E360" i="2" s="1"/>
  <c r="F360" i="2" s="1"/>
  <c r="C361" i="2" s="1"/>
  <c r="G360" i="2" l="1"/>
  <c r="D361" i="2"/>
  <c r="E361" i="2" s="1"/>
  <c r="F361" i="2" s="1"/>
  <c r="C362" i="2" s="1"/>
  <c r="G361" i="2" l="1"/>
  <c r="D362" i="2"/>
  <c r="E362" i="2" s="1"/>
  <c r="F362" i="2" s="1"/>
  <c r="C363" i="2" s="1"/>
  <c r="G362" i="2" l="1"/>
  <c r="D363" i="2"/>
  <c r="E363" i="2" s="1"/>
  <c r="F363" i="2" s="1"/>
  <c r="C364" i="2" s="1"/>
  <c r="G363" i="2" l="1"/>
  <c r="D364" i="2"/>
  <c r="E364" i="2" s="1"/>
  <c r="F364" i="2" s="1"/>
  <c r="C365" i="2" s="1"/>
  <c r="G364" i="2" l="1"/>
  <c r="D365" i="2"/>
  <c r="E365" i="2" s="1"/>
  <c r="F365" i="2" s="1"/>
  <c r="C366" i="2" s="1"/>
  <c r="G365" i="2" l="1"/>
  <c r="D366" i="2"/>
  <c r="E366" i="2" s="1"/>
  <c r="F366" i="2" s="1"/>
  <c r="C367" i="2" s="1"/>
  <c r="G366" i="2" l="1"/>
  <c r="D367" i="2"/>
  <c r="E367" i="2" s="1"/>
  <c r="F367" i="2" s="1"/>
  <c r="C368" i="2" s="1"/>
  <c r="D368" i="2" l="1"/>
  <c r="E368" i="2" s="1"/>
  <c r="F368" i="2" s="1"/>
  <c r="C369" i="2" s="1"/>
  <c r="G367" i="2"/>
  <c r="G368" i="2" l="1"/>
  <c r="D369" i="2"/>
  <c r="E369" i="2" s="1"/>
  <c r="F369" i="2" s="1"/>
  <c r="C370" i="2" s="1"/>
  <c r="G369" i="2" l="1"/>
  <c r="D370" i="2"/>
  <c r="E370" i="2" s="1"/>
  <c r="F370" i="2" s="1"/>
  <c r="C371" i="2" s="1"/>
  <c r="G370" i="2" l="1"/>
  <c r="D371" i="2"/>
  <c r="E371" i="2" s="1"/>
  <c r="F371" i="2" s="1"/>
  <c r="C372" i="2" s="1"/>
  <c r="D372" i="2" l="1"/>
  <c r="E372" i="2" s="1"/>
  <c r="F372" i="2" s="1"/>
  <c r="C373" i="2" s="1"/>
  <c r="G371" i="2"/>
  <c r="G372" i="2" l="1"/>
  <c r="D373" i="2"/>
  <c r="E373" i="2" s="1"/>
  <c r="F373" i="2" s="1"/>
  <c r="C374" i="2" s="1"/>
  <c r="G373" i="2" l="1"/>
  <c r="D374" i="2"/>
  <c r="E374" i="2" s="1"/>
  <c r="F374" i="2" s="1"/>
  <c r="C375" i="2" s="1"/>
  <c r="G374" i="2" l="1"/>
  <c r="D375" i="2"/>
  <c r="E375" i="2" s="1"/>
  <c r="F375" i="2" s="1"/>
  <c r="C376" i="2" s="1"/>
  <c r="G375" i="2" l="1"/>
  <c r="D376" i="2"/>
  <c r="E376" i="2" s="1"/>
  <c r="F376" i="2" s="1"/>
  <c r="C377" i="2" s="1"/>
  <c r="G376" i="2" l="1"/>
  <c r="D377" i="2"/>
  <c r="E377" i="2" s="1"/>
  <c r="F377" i="2" s="1"/>
  <c r="C378" i="2" s="1"/>
  <c r="G377" i="2" l="1"/>
  <c r="D378" i="2"/>
  <c r="E378" i="2" s="1"/>
  <c r="F378" i="2" s="1"/>
  <c r="C379" i="2" s="1"/>
  <c r="G378" i="2" l="1"/>
  <c r="D379" i="2"/>
  <c r="E379" i="2" s="1"/>
  <c r="F379" i="2" s="1"/>
  <c r="C380" i="2" s="1"/>
  <c r="G379" i="2" l="1"/>
  <c r="D380" i="2"/>
  <c r="E380" i="2" s="1"/>
  <c r="F380" i="2" s="1"/>
  <c r="C381" i="2" s="1"/>
  <c r="G380" i="2" l="1"/>
  <c r="D381" i="2"/>
  <c r="E381" i="2" s="1"/>
  <c r="F381" i="2" s="1"/>
  <c r="G381" i="2" l="1"/>
  <c r="R25" i="14" l="1"/>
  <c r="R26" i="14"/>
</calcChain>
</file>

<file path=xl/sharedStrings.xml><?xml version="1.0" encoding="utf-8"?>
<sst xmlns="http://schemas.openxmlformats.org/spreadsheetml/2006/main" count="665" uniqueCount="262">
  <si>
    <t>Year 2</t>
  </si>
  <si>
    <t>Year 3</t>
  </si>
  <si>
    <t>Year 4</t>
  </si>
  <si>
    <t>Year 5</t>
  </si>
  <si>
    <t>Year 6</t>
  </si>
  <si>
    <t>Year 7</t>
  </si>
  <si>
    <t xml:space="preserve">Vacancy </t>
  </si>
  <si>
    <t xml:space="preserve">Bad Debt </t>
  </si>
  <si>
    <t xml:space="preserve">Total Revenue </t>
  </si>
  <si>
    <t>Expenses</t>
  </si>
  <si>
    <t xml:space="preserve">Administrative </t>
  </si>
  <si>
    <t>Total Payroll</t>
  </si>
  <si>
    <t xml:space="preserve">Advertising </t>
  </si>
  <si>
    <t>Repairs and Maintenance</t>
  </si>
  <si>
    <t>Turn Cost</t>
  </si>
  <si>
    <t xml:space="preserve">Contract Services </t>
  </si>
  <si>
    <t>Pest Control</t>
  </si>
  <si>
    <t>Trash Collection</t>
  </si>
  <si>
    <t>Total Contracts</t>
  </si>
  <si>
    <t>Management</t>
  </si>
  <si>
    <t>Reserves</t>
  </si>
  <si>
    <t xml:space="preserve">Total Expenses </t>
  </si>
  <si>
    <t>NOI</t>
  </si>
  <si>
    <t>Cash Flow</t>
  </si>
  <si>
    <t>Cash On Cash</t>
  </si>
  <si>
    <t>Purchase Price</t>
  </si>
  <si>
    <t>Loan Amount</t>
  </si>
  <si>
    <t>Equity</t>
  </si>
  <si>
    <t>Total Equity</t>
  </si>
  <si>
    <t xml:space="preserve">Year 1 </t>
  </si>
  <si>
    <t xml:space="preserve">Debt Service </t>
  </si>
  <si>
    <t>Income</t>
  </si>
  <si>
    <t>Year Of Exit</t>
  </si>
  <si>
    <t>Selling Costs</t>
  </si>
  <si>
    <t>Loan Balance</t>
  </si>
  <si>
    <t>Terminal Cap Rate</t>
  </si>
  <si>
    <t>Sale Price</t>
  </si>
  <si>
    <t>Less Closing Cost</t>
  </si>
  <si>
    <t xml:space="preserve">Less Mtg Balance </t>
  </si>
  <si>
    <t>Net Proceeds</t>
  </si>
  <si>
    <t>LTV</t>
  </si>
  <si>
    <t>Term</t>
  </si>
  <si>
    <t>Rate</t>
  </si>
  <si>
    <t>Amortization</t>
  </si>
  <si>
    <t>Purchase Summary</t>
  </si>
  <si>
    <t>Purchase Price / Unit</t>
  </si>
  <si>
    <t>Year 1 NOI</t>
  </si>
  <si>
    <t>Year 1 Cap Rate</t>
  </si>
  <si>
    <t>Renovation Reserves</t>
  </si>
  <si>
    <t xml:space="preserve">Loan Amount </t>
  </si>
  <si>
    <t>Anticipated Closing Date:</t>
  </si>
  <si>
    <t xml:space="preserve">Sources and Uses </t>
  </si>
  <si>
    <t>Sources</t>
  </si>
  <si>
    <t>Loan</t>
  </si>
  <si>
    <t>Total Sources</t>
  </si>
  <si>
    <t>Uses</t>
  </si>
  <si>
    <t>Total Uses</t>
  </si>
  <si>
    <t>Address</t>
  </si>
  <si>
    <t>Property Type</t>
  </si>
  <si>
    <t>Multifamily</t>
  </si>
  <si>
    <t>Net Rentable SF</t>
  </si>
  <si>
    <t>Units</t>
  </si>
  <si>
    <t>Year Built</t>
  </si>
  <si>
    <t xml:space="preserve"> Payoff Schedule</t>
  </si>
  <si>
    <t>Initial Data</t>
  </si>
  <si>
    <t>LOAN DATA</t>
  </si>
  <si>
    <t>TABLE DATA</t>
  </si>
  <si>
    <t>Loan amount:</t>
  </si>
  <si>
    <t>Table starts at date:</t>
  </si>
  <si>
    <t>Annual interest rate:</t>
  </si>
  <si>
    <t>or at payment number:</t>
  </si>
  <si>
    <t>Term in years:</t>
  </si>
  <si>
    <t>Payments per year:</t>
  </si>
  <si>
    <t>First payment due:</t>
  </si>
  <si>
    <t>PERIODIC PAYMENT</t>
  </si>
  <si>
    <t>Entered payment:</t>
  </si>
  <si>
    <t xml:space="preserve">  The table uses the calculated periodic payment amount</t>
  </si>
  <si>
    <t>Calculated payment:</t>
  </si>
  <si>
    <t xml:space="preserve">  unless you enter a value for "Entered payment".</t>
  </si>
  <si>
    <t>CALCULATIONS</t>
  </si>
  <si>
    <t>Use payment of:</t>
  </si>
  <si>
    <t>1st payment in table:</t>
  </si>
  <si>
    <t>Table</t>
  </si>
  <si>
    <t>Payment</t>
  </si>
  <si>
    <t>Beginning</t>
  </si>
  <si>
    <t>Ending</t>
  </si>
  <si>
    <t>Cumulative</t>
  </si>
  <si>
    <t>Additional Principal</t>
  </si>
  <si>
    <t>No.</t>
  </si>
  <si>
    <t>Date</t>
  </si>
  <si>
    <t>Balance</t>
  </si>
  <si>
    <t>Interest</t>
  </si>
  <si>
    <t>Principal</t>
  </si>
  <si>
    <t>1st year payments total</t>
  </si>
  <si>
    <t>1st year interest payments</t>
  </si>
  <si>
    <t>1st year princ paydown</t>
  </si>
  <si>
    <t>13-24</t>
  </si>
  <si>
    <t>25-36</t>
  </si>
  <si>
    <t>37-48</t>
  </si>
  <si>
    <t>49-60</t>
  </si>
  <si>
    <t>61-72</t>
  </si>
  <si>
    <t>Year 8</t>
  </si>
  <si>
    <t>Year 9</t>
  </si>
  <si>
    <t>Year 10</t>
  </si>
  <si>
    <t>IRR - Sale in Year 10 @ 7 CAP</t>
  </si>
  <si>
    <t xml:space="preserve">Closing Cost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</si>
  <si>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</si>
  <si>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</si>
  <si>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</si>
  <si>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</si>
  <si>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</si>
  <si>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</si>
  <si>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</si>
  <si>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</si>
  <si>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</si>
  <si>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</si>
  <si>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</si>
  <si>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</si>
  <si>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Monthly Revenue Premium </t>
  </si>
  <si>
    <t xml:space="preserve">Year 1 Total </t>
  </si>
  <si>
    <t>Rent Premium (Average)</t>
  </si>
  <si>
    <t xml:space="preserve">Units Renovated A Month </t>
  </si>
  <si>
    <t>Property Overview</t>
  </si>
  <si>
    <t>Average Unit Size:</t>
  </si>
  <si>
    <t>Year 1</t>
  </si>
  <si>
    <t>Income Increasing YOY</t>
  </si>
  <si>
    <t>Units Renovated</t>
  </si>
  <si>
    <t xml:space="preserve">Taxes </t>
  </si>
  <si>
    <t xml:space="preserve">Loss/Gain To Lease </t>
  </si>
  <si>
    <t xml:space="preserve">Loss To Lease </t>
  </si>
  <si>
    <r>
      <t>Loan Balance</t>
    </r>
    <r>
      <rPr>
        <sz val="10"/>
        <rFont val="Calibri"/>
        <family val="2"/>
        <scheme val="minor"/>
      </rPr>
      <t xml:space="preserve"> </t>
    </r>
  </si>
  <si>
    <t xml:space="preserve">Estimated Closing Cost </t>
  </si>
  <si>
    <t xml:space="preserve">Avg. Renovation Premium </t>
  </si>
  <si>
    <t>Syndication Fee</t>
  </si>
  <si>
    <t>General Expense Growth</t>
  </si>
  <si>
    <t xml:space="preserve">Property Tax Growth </t>
  </si>
  <si>
    <t xml:space="preserve">Total Utilities </t>
  </si>
  <si>
    <t xml:space="preserve">Budget </t>
  </si>
  <si>
    <t>Per SqFt</t>
  </si>
  <si>
    <t>Per Unit</t>
  </si>
  <si>
    <t>REVENUE:</t>
  </si>
  <si>
    <t>Gross Potential Rent</t>
  </si>
  <si>
    <t>DEDUCTIONS:</t>
  </si>
  <si>
    <t>Vacancy Loss</t>
  </si>
  <si>
    <t>Vacancy Loss - Down Unit</t>
  </si>
  <si>
    <t>One-Time Rent Concessions</t>
  </si>
  <si>
    <t>Recurring Rent Concessions</t>
  </si>
  <si>
    <t>HAP Housing Discount</t>
  </si>
  <si>
    <t>Concession Chargeback</t>
  </si>
  <si>
    <t>Bad Debt-Rent Write Off</t>
  </si>
  <si>
    <t>Model/Admin Units</t>
  </si>
  <si>
    <t>Employee Units</t>
  </si>
  <si>
    <t>Security Units</t>
  </si>
  <si>
    <t>TOTAL DEDUCTIONS</t>
  </si>
  <si>
    <t>Net Rental Income</t>
  </si>
  <si>
    <t>Other Income</t>
  </si>
  <si>
    <t>TOTAL INCOME</t>
  </si>
  <si>
    <t>OPERATING EXPENSES:</t>
  </si>
  <si>
    <t>Repair &amp; Maintenance</t>
  </si>
  <si>
    <t>Labor Cost</t>
  </si>
  <si>
    <t>Advertising &amp; Promotions</t>
  </si>
  <si>
    <t>General &amp; Administrative</t>
  </si>
  <si>
    <t>Total Controllable Expenses</t>
  </si>
  <si>
    <t>Utility Cost</t>
  </si>
  <si>
    <t>Management Fee</t>
  </si>
  <si>
    <t>Insurance</t>
  </si>
  <si>
    <t>Taxes</t>
  </si>
  <si>
    <t>Other Property Expenses</t>
  </si>
  <si>
    <t>TOTAL OPERATING EXPENSES</t>
  </si>
  <si>
    <t>NET OPERATING INCOME</t>
  </si>
  <si>
    <t>Exit Summary Year 10</t>
  </si>
  <si>
    <t>Landscaping</t>
  </si>
  <si>
    <t xml:space="preserve">Renovation Reserves / Working Capital </t>
  </si>
  <si>
    <t xml:space="preserve">Net Cash Flow </t>
  </si>
  <si>
    <t xml:space="preserve">Misc. </t>
  </si>
  <si>
    <t xml:space="preserve">Concessions / Model </t>
  </si>
  <si>
    <t>Portfolio Overview</t>
  </si>
  <si>
    <t xml:space="preserve">Cap Rate On Purchase Price </t>
  </si>
  <si>
    <r>
      <t>Loan Balance</t>
    </r>
    <r>
      <rPr>
        <sz val="9"/>
        <rFont val="Calibri"/>
        <family val="2"/>
        <scheme val="minor"/>
      </rPr>
      <t xml:space="preserve"> </t>
    </r>
  </si>
  <si>
    <t>IRR  7 CAP Exit</t>
  </si>
  <si>
    <t>Gross Potential Rent - T12 + 2%</t>
  </si>
  <si>
    <t xml:space="preserve">Insurance   </t>
  </si>
  <si>
    <t>1978/1983</t>
  </si>
  <si>
    <t xml:space="preserve">Property Manager </t>
  </si>
  <si>
    <t>500 @ 40%</t>
  </si>
  <si>
    <t>Guess</t>
  </si>
  <si>
    <t>Misc.</t>
  </si>
  <si>
    <t>IRR - Sale in Year 10 @ 6 CAP</t>
  </si>
  <si>
    <t>IRR  6 CAP Exit</t>
  </si>
  <si>
    <t>Studio</t>
  </si>
  <si>
    <t>One Bedroom</t>
  </si>
  <si>
    <t>One Bedroom/Den</t>
  </si>
  <si>
    <t>Two Bedroom/One Bath</t>
  </si>
  <si>
    <t>Two Bedroom/Two Bath</t>
  </si>
  <si>
    <t>One Bedroom/Townhouse/One and One Half Bath</t>
  </si>
  <si>
    <t>Two Bedroom/Townhouse/Two and One Half Bath</t>
  </si>
  <si>
    <t>Three Bedroom/Two Bath</t>
  </si>
  <si>
    <t xml:space="preserve">Unit Size </t>
  </si>
  <si>
    <t xml:space="preserve">No. Of Units </t>
  </si>
  <si>
    <t xml:space="preserve">Unit Type </t>
  </si>
  <si>
    <t>Rent</t>
  </si>
  <si>
    <t xml:space="preserve">Rent Total </t>
  </si>
  <si>
    <t>Sale Price Per Unit</t>
  </si>
  <si>
    <t>1983/1978/1972</t>
  </si>
  <si>
    <t>Utility Charge - Flat Fee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</si>
  <si>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</si>
  <si>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</si>
  <si>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</si>
  <si>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</si>
  <si>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</si>
  <si>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</si>
  <si>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</si>
  <si>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</si>
  <si>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</si>
  <si>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</si>
  <si>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</si>
  <si>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</si>
  <si>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 xml:space="preserve">Units Converted </t>
  </si>
  <si>
    <t xml:space="preserve">Monthly Revenue </t>
  </si>
  <si>
    <t xml:space="preserve">Units Converted a Month </t>
  </si>
  <si>
    <t xml:space="preserve">Year 2 Total </t>
  </si>
  <si>
    <t>estimate 350 Per Unit</t>
  </si>
  <si>
    <t xml:space="preserve">Utilities - Flat Fee Per Month </t>
  </si>
  <si>
    <t xml:space="preserve">Other Income </t>
  </si>
  <si>
    <t>Debt Overview - Bridge</t>
  </si>
  <si>
    <t xml:space="preserve">Rate </t>
  </si>
  <si>
    <t>Debt Overview - HUD</t>
  </si>
  <si>
    <t>Value / Cap</t>
  </si>
  <si>
    <t>Total Loan Amounts</t>
  </si>
  <si>
    <t xml:space="preserve">Bridge Debt </t>
  </si>
  <si>
    <t xml:space="preserve">Renovation Premium </t>
  </si>
  <si>
    <t xml:space="preserve">Senior Property Manager </t>
  </si>
  <si>
    <t xml:space="preserve">Leasing Manager </t>
  </si>
  <si>
    <t xml:space="preserve">Leasing Agent </t>
  </si>
  <si>
    <t xml:space="preserve">Grounds </t>
  </si>
  <si>
    <t xml:space="preserve">Cleaning </t>
  </si>
  <si>
    <t xml:space="preserve">Payroll Burden </t>
  </si>
  <si>
    <t xml:space="preserve">Total Payroll </t>
  </si>
  <si>
    <t>Total Payroll Per Unit</t>
  </si>
  <si>
    <t xml:space="preserve">Senior Maintenance Manager </t>
  </si>
  <si>
    <t xml:space="preserve">Maintenance Manager </t>
  </si>
  <si>
    <t>Maintenance Tech</t>
  </si>
  <si>
    <t>estimate 1,100 Per Unit</t>
  </si>
  <si>
    <t>Debt Overview - Permanent</t>
  </si>
  <si>
    <t xml:space="preserve">Permanent Debt EOY2 </t>
  </si>
  <si>
    <t xml:space="preserve">Equity Remaining In Deal </t>
  </si>
  <si>
    <t xml:space="preserve">10 Years </t>
  </si>
  <si>
    <t xml:space="preserve">Interest Only Period </t>
  </si>
  <si>
    <t>Equity Released To Seller</t>
  </si>
  <si>
    <t>3 Years</t>
  </si>
  <si>
    <t xml:space="preserve">EOY2 -  T12 Expenses </t>
  </si>
  <si>
    <t xml:space="preserve">Beginning Of Year 3 Income </t>
  </si>
  <si>
    <t xml:space="preserve">NOI </t>
  </si>
  <si>
    <t>Month 24 Annuilized Income</t>
  </si>
  <si>
    <t xml:space="preserve">Units to be Renovated After Closing </t>
  </si>
  <si>
    <t>Flat Utility Fee</t>
  </si>
  <si>
    <t xml:space="preserve">Callington &amp; Carlyle </t>
  </si>
  <si>
    <t xml:space="preserve">Buckingham </t>
  </si>
  <si>
    <t xml:space="preserve">20% X 85% Of Purchase </t>
  </si>
  <si>
    <t>estimate 1,000 Per Unit</t>
  </si>
  <si>
    <t xml:space="preserve">Only Adjust Down </t>
  </si>
  <si>
    <t>Exit Summary 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</si>
</sst>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&quot;$&quot;\ #,##0_);\(&quot;$&quot;\ #,##0\);_(&quot;-&quot;_);\ @_)"/>
    <numFmt numFmtId="169" formatCode="&quot;$&quot;\ #,##0.00_);\(&quot;$&quot;\ #,##0.00\);_(&quot;-&quot;_);\ @_)"/>
    <numFmt numFmtId="170" formatCode="#,##0%_);\(#,##0%\);&quot;-&quot;_);\ @_)"/>
    <numFmt numFmtId="171" formatCode="#,##0_);\(#,##0\);_(&quot;-&quot;_);\ @_)"/>
    <numFmt numFmtId="172" formatCode="#,##0.0_);\(#,##0.0\);_(&quot;-&quot;_);\ @_)"/>
    <numFmt numFmtId="173" formatCode="#,##0.00%_);\(#,##0.00%\);&quot;-&quot;_);\ @_)"/>
    <numFmt numFmtId="174" formatCode="#,##0.00_);\(#,##0.00\);_(&quot;-&quot;_);\ @_)"/>
    <numFmt numFmtId="175" formatCode="#,##0\ &quot;months&quot;_);\(#,##0\ &quot;months&quot;\)_);_(&quot;-&quot;_);\ @_)"/>
    <numFmt numFmtId="176" formatCode="#,##0\ &quot;sf&quot;_);\(#,##0\ &quot;sf&quot;\)_);_(&quot;-&quot;_);\ @_)"/>
    <numFmt numFmtId="177" formatCode="\ @_)"/>
    <numFmt numFmtId="178" formatCode="#,##0\ &quot;units&quot;_);\(#,##0\ &quot;units&quot;\)_);_(&quot;-&quot;_);\ @_)"/>
    <numFmt numFmtId="179" formatCode="&quot;$&quot;\ #,##0.00_);\(&quot;$&quot;\ #,##0.00\)_);_(&quot;-&quot;_);\ @_)"/>
    <numFmt numFmtId="180" formatCode="&quot;Month&quot;\ #0_);\(&quot;Month&quot;\ #0\)_);&quot;At Close&quot;_);\ @_)"/>
    <numFmt numFmtId="181" formatCode="[$-409]mmm\ d\,\ yyyy_);[Red]&quot;must be date&quot;;[Red]&quot;must be date&quot;;[Red]&quot;must be date&quot;"/>
    <numFmt numFmtId="182" formatCode="#,##0\ &quot;BR&quot;_);\(#,##0\);&quot;Studio&quot;_);\ @_)"/>
    <numFmt numFmtId="183" formatCode="_(* #,##0.000_);_(* \(#,##0.000\);_(* &quot;-&quot;??_);_(@_)"/>
    <numFmt numFmtId="184" formatCode="0.0000%"/>
    <numFmt numFmtId="185" formatCode="0.000_);\(0.000\)"/>
    <numFmt numFmtId="186" formatCode="0.00_);\(0.00\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Geneva"/>
      <family val="2"/>
    </font>
    <font>
      <b/>
      <sz val="10"/>
      <name val="Geneva"/>
      <family val="2"/>
    </font>
    <font>
      <sz val="10"/>
      <color theme="1"/>
      <name val="Verdana"/>
      <family val="2"/>
    </font>
    <font>
      <i/>
      <sz val="10"/>
      <name val="Geneva"/>
      <family val="2"/>
    </font>
    <font>
      <sz val="10"/>
      <name val="Genev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mbria"/>
      <family val="2"/>
      <scheme val="major"/>
    </font>
    <font>
      <b/>
      <sz val="10"/>
      <color theme="0"/>
      <name val="Cambria"/>
      <family val="2"/>
      <scheme val="maj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Calibri"/>
      <family val="2"/>
      <scheme val="minor"/>
    </font>
    <font>
      <sz val="12"/>
      <name val="Arial"/>
      <family val="2"/>
    </font>
    <font>
      <b/>
      <u/>
      <sz val="11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u/>
      <sz val="14"/>
      <color indexed="8"/>
      <name val="Arial Unicode MS"/>
      <family val="2"/>
    </font>
    <font>
      <sz val="14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4"/>
      <name val="Arial Unicode MS"/>
      <family val="2"/>
    </font>
    <font>
      <b/>
      <u/>
      <sz val="14"/>
      <name val="Arial Unicode MS"/>
      <family val="2"/>
    </font>
    <font>
      <sz val="14"/>
      <name val="Arial Unicode MS"/>
      <family val="2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rgb="FF3F3F76"/>
      <name val="Calibri"/>
      <family val="2"/>
      <scheme val="minor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2370372631001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indexed="64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64"/>
      </bottom>
      <diagonal/>
    </border>
    <border>
      <left style="medium">
        <color rgb="FF002060"/>
      </left>
      <right/>
      <top/>
      <bottom style="medium">
        <color theme="0" tint="-0.14999847407452621"/>
      </bottom>
      <diagonal/>
    </border>
    <border>
      <left/>
      <right style="medium">
        <color rgb="FF002060"/>
      </right>
      <top/>
      <bottom style="medium">
        <color theme="0" tint="-0.14999847407452621"/>
      </bottom>
      <diagonal/>
    </border>
    <border>
      <left style="medium">
        <color rgb="FF002060"/>
      </left>
      <right/>
      <top style="medium">
        <color theme="0" tint="-0.14999847407452621"/>
      </top>
      <bottom style="medium">
        <color rgb="FF002060"/>
      </bottom>
      <diagonal/>
    </border>
    <border>
      <left/>
      <right style="medium">
        <color rgb="FF002060"/>
      </right>
      <top style="medium">
        <color theme="0" tint="-0.14999847407452621"/>
      </top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 style="medium">
        <color rgb="FF002060"/>
      </left>
      <right/>
      <top style="medium">
        <color theme="0" tint="-0.14999847407452621"/>
      </top>
      <bottom style="medium">
        <color indexed="64"/>
      </bottom>
      <diagonal/>
    </border>
    <border>
      <left/>
      <right style="medium">
        <color rgb="FF002060"/>
      </right>
      <top style="medium">
        <color theme="0" tint="-0.14999847407452621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0" tint="-0.14999847407452621"/>
      </right>
      <top style="medium">
        <color indexed="64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medium">
        <color indexed="64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medium">
        <color theme="0" tint="-0.14999847407452621"/>
      </top>
      <bottom style="medium">
        <color rgb="FF00206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9847407452621"/>
      </bottom>
      <diagonal/>
    </border>
    <border>
      <left style="medium">
        <color indexed="64"/>
      </left>
      <right/>
      <top/>
      <bottom style="medium">
        <color theme="0" tint="-0.1499984740745262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14999847407452621"/>
      </bottom>
      <diagonal/>
    </border>
    <border>
      <left style="medium">
        <color indexed="64"/>
      </left>
      <right/>
      <top style="medium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indexed="64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medium">
        <color theme="0" tint="-0.1499984740745262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0" tint="-0.14999847407452621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50" applyNumberFormat="0" applyFill="0" applyAlignment="0" applyProtection="0"/>
    <xf numFmtId="0" fontId="10" fillId="0" borderId="51" applyNumberFormat="0" applyFill="0" applyAlignment="0" applyProtection="0"/>
    <xf numFmtId="0" fontId="11" fillId="0" borderId="5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53" applyNumberFormat="0" applyAlignment="0" applyProtection="0"/>
    <xf numFmtId="0" fontId="15" fillId="8" borderId="54" applyNumberFormat="0" applyAlignment="0" applyProtection="0"/>
    <xf numFmtId="0" fontId="16" fillId="8" borderId="53" applyNumberFormat="0" applyAlignment="0" applyProtection="0"/>
    <xf numFmtId="0" fontId="17" fillId="0" borderId="55" applyNumberFormat="0" applyFill="0" applyAlignment="0" applyProtection="0"/>
    <xf numFmtId="0" fontId="18" fillId="9" borderId="56" applyNumberFormat="0" applyAlignment="0" applyProtection="0"/>
    <xf numFmtId="0" fontId="19" fillId="0" borderId="0" applyNumberFormat="0" applyFill="0" applyBorder="0" applyAlignment="0" applyProtection="0"/>
    <xf numFmtId="0" fontId="1" fillId="10" borderId="57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58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168" fontId="24" fillId="0" borderId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4" fontId="24" fillId="0" borderId="0" applyFill="0" applyBorder="0" applyAlignment="0" applyProtection="0"/>
    <xf numFmtId="181" fontId="24" fillId="0" borderId="0" applyFill="0" applyBorder="0" applyAlignment="0" applyProtection="0"/>
    <xf numFmtId="175" fontId="24" fillId="0" borderId="0" applyFill="0" applyBorder="0" applyAlignment="0" applyProtection="0"/>
    <xf numFmtId="176" fontId="24" fillId="0" borderId="0" applyFill="0" applyBorder="0" applyAlignment="0" applyProtection="0"/>
    <xf numFmtId="182" fontId="24" fillId="0" borderId="0" applyFill="0" applyBorder="0" applyAlignment="0" applyProtection="0"/>
    <xf numFmtId="177" fontId="24" fillId="0" borderId="0" applyFill="0" applyBorder="0" applyAlignment="0" applyProtection="0"/>
    <xf numFmtId="178" fontId="24" fillId="0" borderId="0" applyFill="0" applyBorder="0" applyAlignment="0" applyProtection="0"/>
    <xf numFmtId="179" fontId="26" fillId="0" borderId="69" applyFill="0" applyAlignment="0" applyProtection="0"/>
    <xf numFmtId="0" fontId="27" fillId="35" borderId="0" applyNumberFormat="0" applyBorder="0" applyAlignment="0" applyProtection="0"/>
    <xf numFmtId="179" fontId="26" fillId="36" borderId="0" applyBorder="0" applyProtection="0"/>
    <xf numFmtId="0" fontId="28" fillId="0" borderId="0" applyNumberFormat="0" applyFill="0" applyBorder="0" applyAlignment="0" applyProtection="0"/>
    <xf numFmtId="180" fontId="24" fillId="0" borderId="0" applyFill="0" applyBorder="0" applyAlignment="0" applyProtection="0"/>
    <xf numFmtId="0" fontId="34" fillId="0" borderId="0"/>
    <xf numFmtId="0" fontId="36" fillId="37" borderId="0"/>
  </cellStyleXfs>
  <cellXfs count="62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27" xfId="0" applyFont="1" applyBorder="1"/>
    <xf numFmtId="0" fontId="0" fillId="0" borderId="27" xfId="0" applyBorder="1"/>
    <xf numFmtId="0" fontId="5" fillId="0" borderId="27" xfId="0" applyFont="1" applyBorder="1"/>
    <xf numFmtId="0" fontId="0" fillId="0" borderId="27" xfId="0" applyBorder="1" applyAlignment="1">
      <alignment horizontal="right"/>
    </xf>
    <xf numFmtId="7" fontId="5" fillId="0" borderId="27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66" fontId="6" fillId="0" borderId="0" xfId="3" applyNumberFormat="1" applyFont="1"/>
    <xf numFmtId="14" fontId="0" fillId="0" borderId="28" xfId="0" applyNumberFormat="1" applyBorder="1" applyAlignment="1">
      <alignment horizontal="left"/>
    </xf>
    <xf numFmtId="10" fontId="0" fillId="0" borderId="28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7" fontId="5" fillId="0" borderId="0" xfId="0" applyNumberFormat="1" applyFont="1"/>
    <xf numFmtId="0" fontId="7" fillId="0" borderId="0" xfId="0" applyFont="1"/>
    <xf numFmtId="7" fontId="8" fillId="0" borderId="0" xfId="0" applyNumberFormat="1" applyFont="1"/>
    <xf numFmtId="4" fontId="8" fillId="0" borderId="0" xfId="0" applyNumberFormat="1" applyFont="1"/>
    <xf numFmtId="0" fontId="0" fillId="0" borderId="0" xfId="0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6" fontId="0" fillId="0" borderId="0" xfId="3" applyNumberFormat="1" applyFont="1"/>
    <xf numFmtId="4" fontId="0" fillId="0" borderId="0" xfId="0" applyNumberFormat="1"/>
    <xf numFmtId="0" fontId="0" fillId="3" borderId="29" xfId="0" applyFill="1" applyBorder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0" fontId="0" fillId="3" borderId="0" xfId="0" applyFill="1"/>
    <xf numFmtId="6" fontId="0" fillId="0" borderId="0" xfId="0" applyNumberFormat="1"/>
    <xf numFmtId="0" fontId="0" fillId="0" borderId="33" xfId="0" applyBorder="1"/>
    <xf numFmtId="164" fontId="0" fillId="0" borderId="33" xfId="1" applyNumberFormat="1" applyFont="1" applyBorder="1"/>
    <xf numFmtId="0" fontId="0" fillId="0" borderId="36" xfId="0" applyBorder="1"/>
    <xf numFmtId="0" fontId="0" fillId="0" borderId="32" xfId="0" applyBorder="1"/>
    <xf numFmtId="166" fontId="0" fillId="0" borderId="32" xfId="3" applyNumberFormat="1" applyFont="1" applyBorder="1"/>
    <xf numFmtId="0" fontId="0" fillId="3" borderId="33" xfId="0" applyFill="1" applyBorder="1"/>
    <xf numFmtId="44" fontId="0" fillId="3" borderId="33" xfId="3" applyFont="1" applyFill="1" applyBorder="1"/>
    <xf numFmtId="164" fontId="0" fillId="3" borderId="1" xfId="1" applyNumberFormat="1" applyFont="1" applyFill="1" applyBorder="1"/>
    <xf numFmtId="1" fontId="0" fillId="0" borderId="33" xfId="0" applyNumberFormat="1" applyBorder="1"/>
    <xf numFmtId="2" fontId="0" fillId="3" borderId="33" xfId="3" applyNumberFormat="1" applyFont="1" applyFill="1" applyBorder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24" fillId="0" borderId="0" xfId="0" applyFont="1"/>
    <xf numFmtId="0" fontId="30" fillId="2" borderId="68" xfId="0" applyFont="1" applyFill="1" applyBorder="1"/>
    <xf numFmtId="165" fontId="29" fillId="2" borderId="67" xfId="0" applyNumberFormat="1" applyFont="1" applyFill="1" applyBorder="1"/>
    <xf numFmtId="10" fontId="29" fillId="2" borderId="67" xfId="0" applyNumberFormat="1" applyFont="1" applyFill="1" applyBorder="1"/>
    <xf numFmtId="49" fontId="31" fillId="0" borderId="0" xfId="0" applyNumberFormat="1" applyFont="1" applyAlignment="1">
      <alignment horizontal="center"/>
    </xf>
    <xf numFmtId="0" fontId="30" fillId="2" borderId="67" xfId="0" applyFont="1" applyFill="1" applyBorder="1"/>
    <xf numFmtId="10" fontId="30" fillId="2" borderId="67" xfId="0" applyNumberFormat="1" applyFont="1" applyFill="1" applyBorder="1"/>
    <xf numFmtId="0" fontId="31" fillId="0" borderId="11" xfId="0" applyFont="1" applyBorder="1"/>
    <xf numFmtId="0" fontId="31" fillId="0" borderId="4" xfId="0" applyFont="1" applyBorder="1"/>
    <xf numFmtId="43" fontId="29" fillId="0" borderId="0" xfId="0" applyNumberFormat="1" applyFont="1"/>
    <xf numFmtId="0" fontId="29" fillId="0" borderId="0" xfId="0" applyFont="1" applyAlignment="1">
      <alignment horizontal="center"/>
    </xf>
    <xf numFmtId="0" fontId="31" fillId="0" borderId="37" xfId="0" applyFont="1" applyBorder="1" applyAlignment="1">
      <alignment horizontal="center"/>
    </xf>
    <xf numFmtId="183" fontId="31" fillId="0" borderId="4" xfId="0" applyNumberFormat="1" applyFont="1" applyBorder="1"/>
    <xf numFmtId="0" fontId="31" fillId="0" borderId="34" xfId="0" applyFont="1" applyBorder="1"/>
    <xf numFmtId="0" fontId="31" fillId="0" borderId="3" xfId="0" applyFont="1" applyBorder="1"/>
    <xf numFmtId="0" fontId="31" fillId="0" borderId="35" xfId="0" applyFont="1" applyBorder="1"/>
    <xf numFmtId="0" fontId="31" fillId="0" borderId="40" xfId="0" applyFont="1" applyBorder="1"/>
    <xf numFmtId="164" fontId="31" fillId="0" borderId="23" xfId="1" applyNumberFormat="1" applyFont="1" applyBorder="1"/>
    <xf numFmtId="0" fontId="31" fillId="0" borderId="13" xfId="0" applyFont="1" applyBorder="1"/>
    <xf numFmtId="0" fontId="29" fillId="0" borderId="42" xfId="0" applyFont="1" applyBorder="1" applyAlignment="1">
      <alignment wrapText="1"/>
    </xf>
    <xf numFmtId="164" fontId="29" fillId="0" borderId="47" xfId="1" applyNumberFormat="1" applyFont="1" applyBorder="1"/>
    <xf numFmtId="164" fontId="29" fillId="0" borderId="0" xfId="1" applyNumberFormat="1" applyFont="1"/>
    <xf numFmtId="164" fontId="29" fillId="0" borderId="43" xfId="1" applyNumberFormat="1" applyFont="1" applyBorder="1"/>
    <xf numFmtId="10" fontId="30" fillId="2" borderId="4" xfId="2" applyNumberFormat="1" applyFont="1" applyFill="1" applyBorder="1"/>
    <xf numFmtId="0" fontId="31" fillId="0" borderId="42" xfId="0" applyFont="1" applyBorder="1"/>
    <xf numFmtId="10" fontId="31" fillId="0" borderId="23" xfId="2" applyNumberFormat="1" applyFont="1" applyBorder="1"/>
    <xf numFmtId="0" fontId="29" fillId="0" borderId="42" xfId="0" applyFont="1" applyBorder="1"/>
    <xf numFmtId="165" fontId="30" fillId="2" borderId="4" xfId="0" applyNumberFormat="1" applyFont="1" applyFill="1" applyBorder="1" applyAlignment="1">
      <alignment horizontal="right"/>
    </xf>
    <xf numFmtId="43" fontId="31" fillId="0" borderId="5" xfId="0" applyNumberFormat="1" applyFont="1" applyBorder="1"/>
    <xf numFmtId="3" fontId="31" fillId="0" borderId="44" xfId="0" applyNumberFormat="1" applyFont="1" applyBorder="1" applyAlignment="1">
      <alignment horizontal="right"/>
    </xf>
    <xf numFmtId="10" fontId="31" fillId="0" borderId="44" xfId="2" applyNumberFormat="1" applyFont="1" applyBorder="1" applyAlignment="1">
      <alignment horizontal="right"/>
    </xf>
    <xf numFmtId="0" fontId="29" fillId="0" borderId="47" xfId="0" applyFont="1" applyBorder="1"/>
    <xf numFmtId="44" fontId="30" fillId="2" borderId="4" xfId="3" applyFont="1" applyFill="1" applyBorder="1" applyAlignment="1">
      <alignment horizontal="right"/>
    </xf>
    <xf numFmtId="10" fontId="31" fillId="0" borderId="4" xfId="0" applyNumberFormat="1" applyFont="1" applyBorder="1"/>
    <xf numFmtId="3" fontId="31" fillId="0" borderId="44" xfId="0" applyNumberFormat="1" applyFont="1" applyBorder="1"/>
    <xf numFmtId="43" fontId="32" fillId="2" borderId="3" xfId="0" applyNumberFormat="1" applyFont="1" applyFill="1" applyBorder="1" applyAlignment="1">
      <alignment horizontal="right"/>
    </xf>
    <xf numFmtId="164" fontId="31" fillId="0" borderId="3" xfId="1" applyNumberFormat="1" applyFont="1" applyBorder="1"/>
    <xf numFmtId="164" fontId="31" fillId="0" borderId="34" xfId="1" applyNumberFormat="1" applyFont="1" applyBorder="1"/>
    <xf numFmtId="164" fontId="31" fillId="0" borderId="35" xfId="1" applyNumberFormat="1" applyFont="1" applyBorder="1"/>
    <xf numFmtId="0" fontId="31" fillId="0" borderId="32" xfId="0" applyFont="1" applyBorder="1"/>
    <xf numFmtId="10" fontId="31" fillId="0" borderId="44" xfId="2" applyNumberFormat="1" applyFont="1" applyBorder="1"/>
    <xf numFmtId="164" fontId="31" fillId="0" borderId="44" xfId="1" applyNumberFormat="1" applyFont="1" applyBorder="1" applyAlignment="1">
      <alignment horizontal="right" indent="1"/>
    </xf>
    <xf numFmtId="0" fontId="31" fillId="0" borderId="45" xfId="0" applyFont="1" applyBorder="1"/>
    <xf numFmtId="0" fontId="31" fillId="0" borderId="6" xfId="0" applyFont="1" applyBorder="1"/>
    <xf numFmtId="3" fontId="31" fillId="0" borderId="12" xfId="0" applyNumberFormat="1" applyFont="1" applyBorder="1" applyAlignment="1">
      <alignment horizontal="right"/>
    </xf>
    <xf numFmtId="10" fontId="31" fillId="0" borderId="12" xfId="0" applyNumberFormat="1" applyFont="1" applyBorder="1" applyAlignment="1">
      <alignment horizontal="right"/>
    </xf>
    <xf numFmtId="164" fontId="31" fillId="0" borderId="4" xfId="1" applyNumberFormat="1" applyFont="1" applyBorder="1"/>
    <xf numFmtId="164" fontId="30" fillId="2" borderId="4" xfId="0" applyNumberFormat="1" applyFont="1" applyFill="1" applyBorder="1" applyAlignment="1">
      <alignment horizontal="right"/>
    </xf>
    <xf numFmtId="0" fontId="30" fillId="2" borderId="4" xfId="0" applyFont="1" applyFill="1" applyBorder="1" applyAlignment="1">
      <alignment horizontal="right"/>
    </xf>
    <xf numFmtId="0" fontId="30" fillId="2" borderId="5" xfId="0" applyFont="1" applyFill="1" applyBorder="1" applyAlignment="1">
      <alignment horizontal="right"/>
    </xf>
    <xf numFmtId="164" fontId="31" fillId="0" borderId="5" xfId="1" applyNumberFormat="1" applyFont="1" applyBorder="1"/>
    <xf numFmtId="164" fontId="29" fillId="0" borderId="0" xfId="0" applyNumberFormat="1" applyFont="1"/>
    <xf numFmtId="0" fontId="31" fillId="0" borderId="42" xfId="0" applyFont="1" applyBorder="1" applyAlignment="1">
      <alignment horizontal="left" indent="1"/>
    </xf>
    <xf numFmtId="10" fontId="31" fillId="0" borderId="20" xfId="2" applyNumberFormat="1" applyFont="1" applyBorder="1"/>
    <xf numFmtId="0" fontId="31" fillId="0" borderId="47" xfId="0" applyFont="1" applyBorder="1" applyAlignment="1">
      <alignment horizontal="left" indent="1"/>
    </xf>
    <xf numFmtId="10" fontId="31" fillId="0" borderId="22" xfId="2" applyNumberFormat="1" applyFont="1" applyBorder="1"/>
    <xf numFmtId="3" fontId="31" fillId="0" borderId="43" xfId="0" applyNumberFormat="1" applyFont="1" applyBorder="1"/>
    <xf numFmtId="0" fontId="31" fillId="0" borderId="64" xfId="0" applyFont="1" applyBorder="1"/>
    <xf numFmtId="9" fontId="31" fillId="0" borderId="26" xfId="0" applyNumberFormat="1" applyFont="1" applyBorder="1"/>
    <xf numFmtId="3" fontId="31" fillId="0" borderId="65" xfId="0" applyNumberFormat="1" applyFont="1" applyBorder="1"/>
    <xf numFmtId="0" fontId="31" fillId="0" borderId="48" xfId="0" applyFont="1" applyBorder="1" applyAlignment="1">
      <alignment horizontal="left" indent="1"/>
    </xf>
    <xf numFmtId="10" fontId="31" fillId="0" borderId="24" xfId="0" applyNumberFormat="1" applyFont="1" applyBorder="1"/>
    <xf numFmtId="3" fontId="31" fillId="0" borderId="49" xfId="0" applyNumberFormat="1" applyFont="1" applyBorder="1"/>
    <xf numFmtId="10" fontId="31" fillId="0" borderId="21" xfId="2" applyNumberFormat="1" applyFont="1" applyBorder="1"/>
    <xf numFmtId="9" fontId="31" fillId="0" borderId="66" xfId="0" applyNumberFormat="1" applyFont="1" applyBorder="1"/>
    <xf numFmtId="164" fontId="31" fillId="0" borderId="46" xfId="1" applyNumberFormat="1" applyFont="1" applyBorder="1"/>
    <xf numFmtId="0" fontId="31" fillId="0" borderId="17" xfId="0" applyFont="1" applyBorder="1"/>
    <xf numFmtId="164" fontId="31" fillId="0" borderId="18" xfId="1" applyNumberFormat="1" applyFont="1" applyBorder="1" applyAlignment="1">
      <alignment horizontal="right"/>
    </xf>
    <xf numFmtId="0" fontId="31" fillId="0" borderId="19" xfId="0" applyFont="1" applyBorder="1"/>
    <xf numFmtId="0" fontId="31" fillId="0" borderId="15" xfId="0" applyFont="1" applyBorder="1"/>
    <xf numFmtId="0" fontId="29" fillId="0" borderId="2" xfId="0" applyFont="1" applyBorder="1"/>
    <xf numFmtId="0" fontId="30" fillId="0" borderId="2" xfId="0" applyFont="1" applyBorder="1"/>
    <xf numFmtId="165" fontId="29" fillId="0" borderId="2" xfId="2" applyNumberFormat="1" applyFont="1" applyBorder="1"/>
    <xf numFmtId="3" fontId="31" fillId="0" borderId="20" xfId="0" applyNumberFormat="1" applyFont="1" applyBorder="1" applyAlignment="1">
      <alignment horizontal="right"/>
    </xf>
    <xf numFmtId="164" fontId="31" fillId="0" borderId="12" xfId="1" applyNumberFormat="1" applyFont="1" applyBorder="1"/>
    <xf numFmtId="0" fontId="32" fillId="0" borderId="3" xfId="0" applyFont="1" applyBorder="1" applyAlignment="1">
      <alignment horizontal="right"/>
    </xf>
    <xf numFmtId="164" fontId="31" fillId="0" borderId="21" xfId="1" applyNumberFormat="1" applyFont="1" applyBorder="1" applyAlignment="1">
      <alignment horizontal="right"/>
    </xf>
    <xf numFmtId="164" fontId="31" fillId="0" borderId="12" xfId="1" applyNumberFormat="1" applyFont="1" applyBorder="1" applyAlignment="1">
      <alignment horizontal="right"/>
    </xf>
    <xf numFmtId="0" fontId="32" fillId="0" borderId="32" xfId="0" applyFont="1" applyBorder="1" applyAlignment="1">
      <alignment horizontal="right"/>
    </xf>
    <xf numFmtId="164" fontId="31" fillId="0" borderId="32" xfId="1" applyNumberFormat="1" applyFont="1" applyBorder="1"/>
    <xf numFmtId="164" fontId="31" fillId="0" borderId="12" xfId="0" applyNumberFormat="1" applyFont="1" applyBorder="1"/>
    <xf numFmtId="164" fontId="33" fillId="0" borderId="37" xfId="0" applyNumberFormat="1" applyFont="1" applyBorder="1"/>
    <xf numFmtId="3" fontId="31" fillId="0" borderId="25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164" fontId="31" fillId="0" borderId="2" xfId="1" applyNumberFormat="1" applyFont="1" applyBorder="1"/>
    <xf numFmtId="164" fontId="31" fillId="0" borderId="39" xfId="1" applyNumberFormat="1" applyFont="1" applyBorder="1"/>
    <xf numFmtId="0" fontId="31" fillId="0" borderId="0" xfId="0" applyFont="1"/>
    <xf numFmtId="0" fontId="32" fillId="0" borderId="0" xfId="0" applyFont="1" applyAlignment="1">
      <alignment horizontal="right"/>
    </xf>
    <xf numFmtId="165" fontId="31" fillId="0" borderId="0" xfId="2" applyNumberFormat="1" applyFont="1"/>
    <xf numFmtId="0" fontId="31" fillId="0" borderId="36" xfId="0" applyFont="1" applyBorder="1" applyAlignment="1">
      <alignment vertical="center"/>
    </xf>
    <xf numFmtId="0" fontId="30" fillId="0" borderId="32" xfId="0" applyFont="1" applyBorder="1"/>
    <xf numFmtId="0" fontId="31" fillId="0" borderId="38" xfId="0" applyFont="1" applyBorder="1" applyAlignment="1">
      <alignment vertical="center"/>
    </xf>
    <xf numFmtId="0" fontId="31" fillId="0" borderId="0" xfId="0" applyFont="1" applyAlignment="1">
      <alignment vertical="center"/>
    </xf>
    <xf numFmtId="164" fontId="30" fillId="0" borderId="7" xfId="0" applyNumberFormat="1" applyFont="1" applyBorder="1"/>
    <xf numFmtId="164" fontId="29" fillId="0" borderId="7" xfId="0" applyNumberFormat="1" applyFont="1" applyBorder="1"/>
    <xf numFmtId="164" fontId="29" fillId="0" borderId="47" xfId="0" applyNumberFormat="1" applyFont="1" applyBorder="1"/>
    <xf numFmtId="164" fontId="29" fillId="0" borderId="43" xfId="0" applyNumberFormat="1" applyFont="1" applyBorder="1"/>
    <xf numFmtId="164" fontId="31" fillId="0" borderId="47" xfId="0" applyNumberFormat="1" applyFont="1" applyBorder="1"/>
    <xf numFmtId="164" fontId="31" fillId="0" borderId="43" xfId="0" applyNumberFormat="1" applyFont="1" applyBorder="1"/>
    <xf numFmtId="164" fontId="29" fillId="0" borderId="38" xfId="1" applyNumberFormat="1" applyFont="1" applyBorder="1"/>
    <xf numFmtId="164" fontId="29" fillId="0" borderId="2" xfId="1" applyNumberFormat="1" applyFont="1" applyBorder="1"/>
    <xf numFmtId="164" fontId="29" fillId="0" borderId="39" xfId="1" applyNumberFormat="1" applyFont="1" applyBorder="1"/>
    <xf numFmtId="0" fontId="31" fillId="0" borderId="41" xfId="0" applyFont="1" applyBorder="1" applyAlignment="1">
      <alignment horizontal="right"/>
    </xf>
    <xf numFmtId="0" fontId="31" fillId="0" borderId="44" xfId="0" applyFont="1" applyBorder="1" applyAlignment="1">
      <alignment horizontal="right"/>
    </xf>
    <xf numFmtId="0" fontId="31" fillId="0" borderId="44" xfId="0" applyFont="1" applyBorder="1"/>
    <xf numFmtId="1" fontId="31" fillId="0" borderId="44" xfId="0" applyNumberFormat="1" applyFont="1" applyBorder="1"/>
    <xf numFmtId="0" fontId="31" fillId="0" borderId="38" xfId="0" applyFont="1" applyBorder="1"/>
    <xf numFmtId="0" fontId="31" fillId="0" borderId="2" xfId="0" applyFont="1" applyBorder="1"/>
    <xf numFmtId="0" fontId="31" fillId="0" borderId="39" xfId="0" applyFont="1" applyBorder="1" applyAlignment="1">
      <alignment horizontal="right"/>
    </xf>
    <xf numFmtId="43" fontId="24" fillId="0" borderId="0" xfId="0" applyNumberFormat="1" applyFont="1"/>
    <xf numFmtId="43" fontId="31" fillId="0" borderId="0" xfId="1" applyFont="1"/>
    <xf numFmtId="164" fontId="31" fillId="0" borderId="47" xfId="1" applyNumberFormat="1" applyFont="1" applyBorder="1"/>
    <xf numFmtId="164" fontId="31" fillId="0" borderId="43" xfId="1" applyNumberFormat="1" applyFont="1" applyBorder="1"/>
    <xf numFmtId="165" fontId="31" fillId="0" borderId="2" xfId="2" applyNumberFormat="1" applyFont="1" applyBorder="1" applyAlignment="1">
      <alignment horizontal="center"/>
    </xf>
    <xf numFmtId="184" fontId="31" fillId="0" borderId="4" xfId="0" applyNumberFormat="1" applyFont="1" applyBorder="1"/>
    <xf numFmtId="49" fontId="25" fillId="0" borderId="0" xfId="69" applyNumberFormat="1" applyFont="1" applyAlignment="1">
      <alignment horizontal="left" vertical="center"/>
    </xf>
    <xf numFmtId="3" fontId="25" fillId="0" borderId="0" xfId="69" applyNumberFormat="1" applyFont="1" applyAlignment="1">
      <alignment horizontal="right" vertical="center"/>
    </xf>
    <xf numFmtId="164" fontId="32" fillId="2" borderId="32" xfId="1" applyNumberFormat="1" applyFont="1" applyFill="1" applyBorder="1" applyAlignment="1">
      <alignment horizontal="right"/>
    </xf>
    <xf numFmtId="165" fontId="31" fillId="0" borderId="70" xfId="0" applyNumberFormat="1" applyFont="1" applyBorder="1" applyAlignment="1">
      <alignment horizontal="center"/>
    </xf>
    <xf numFmtId="165" fontId="31" fillId="0" borderId="71" xfId="0" applyNumberFormat="1" applyFont="1" applyBorder="1" applyAlignment="1">
      <alignment horizontal="center"/>
    </xf>
    <xf numFmtId="10" fontId="30" fillId="2" borderId="67" xfId="2" applyNumberFormat="1" applyFont="1" applyFill="1" applyBorder="1"/>
    <xf numFmtId="164" fontId="0" fillId="0" borderId="0" xfId="0" applyNumberFormat="1"/>
    <xf numFmtId="164" fontId="31" fillId="0" borderId="39" xfId="0" applyNumberFormat="1" applyFont="1" applyBorder="1"/>
    <xf numFmtId="43" fontId="0" fillId="0" borderId="0" xfId="0" applyNumberFormat="1"/>
    <xf numFmtId="164" fontId="29" fillId="2" borderId="38" xfId="0" applyNumberFormat="1" applyFont="1" applyFill="1" applyBorder="1"/>
    <xf numFmtId="164" fontId="29" fillId="2" borderId="2" xfId="0" applyNumberFormat="1" applyFont="1" applyFill="1" applyBorder="1"/>
    <xf numFmtId="164" fontId="29" fillId="0" borderId="39" xfId="1" applyNumberFormat="1" applyFont="1" applyBorder="1" applyAlignment="1">
      <alignment horizontal="center"/>
    </xf>
    <xf numFmtId="164" fontId="29" fillId="0" borderId="4" xfId="1" applyNumberFormat="1" applyFont="1" applyBorder="1"/>
    <xf numFmtId="164" fontId="29" fillId="0" borderId="0" xfId="1" applyNumberFormat="1" applyFont="1" applyBorder="1"/>
    <xf numFmtId="0" fontId="31" fillId="0" borderId="0" xfId="0" applyFont="1" applyBorder="1"/>
    <xf numFmtId="164" fontId="31" fillId="0" borderId="0" xfId="1" applyNumberFormat="1" applyFont="1" applyBorder="1"/>
    <xf numFmtId="0" fontId="29" fillId="0" borderId="0" xfId="0" applyFont="1" applyBorder="1"/>
    <xf numFmtId="164" fontId="31" fillId="0" borderId="0" xfId="0" applyNumberFormat="1" applyFont="1" applyBorder="1"/>
    <xf numFmtId="164" fontId="29" fillId="0" borderId="0" xfId="0" applyNumberFormat="1" applyFont="1" applyBorder="1"/>
    <xf numFmtId="167" fontId="29" fillId="0" borderId="0" xfId="0" applyNumberFormat="1" applyFont="1" applyBorder="1"/>
    <xf numFmtId="164" fontId="31" fillId="0" borderId="37" xfId="1" applyNumberFormat="1" applyFont="1" applyBorder="1"/>
    <xf numFmtId="0" fontId="29" fillId="0" borderId="38" xfId="0" applyFont="1" applyBorder="1"/>
    <xf numFmtId="0" fontId="30" fillId="0" borderId="47" xfId="0" applyFont="1" applyBorder="1" applyAlignment="1">
      <alignment horizontal="left" indent="1"/>
    </xf>
    <xf numFmtId="0" fontId="30" fillId="2" borderId="0" xfId="0" applyFont="1" applyFill="1" applyBorder="1" applyAlignment="1">
      <alignment horizontal="right"/>
    </xf>
    <xf numFmtId="164" fontId="30" fillId="0" borderId="0" xfId="1" applyNumberFormat="1" applyFont="1" applyBorder="1"/>
    <xf numFmtId="0" fontId="31" fillId="0" borderId="42" xfId="0" applyFont="1" applyBorder="1" applyAlignment="1">
      <alignment horizontal="left"/>
    </xf>
    <xf numFmtId="0" fontId="31" fillId="0" borderId="48" xfId="0" applyFont="1" applyBorder="1"/>
    <xf numFmtId="0" fontId="31" fillId="0" borderId="47" xfId="0" applyFont="1" applyBorder="1" applyAlignment="1">
      <alignment horizontal="left"/>
    </xf>
    <xf numFmtId="0" fontId="31" fillId="0" borderId="47" xfId="0" applyFont="1" applyBorder="1"/>
    <xf numFmtId="0" fontId="31" fillId="0" borderId="43" xfId="0" applyFont="1" applyBorder="1"/>
    <xf numFmtId="164" fontId="31" fillId="0" borderId="36" xfId="1" applyNumberFormat="1" applyFont="1" applyBorder="1"/>
    <xf numFmtId="10" fontId="32" fillId="0" borderId="23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164" fontId="31" fillId="0" borderId="6" xfId="1" applyNumberFormat="1" applyFont="1" applyBorder="1"/>
    <xf numFmtId="10" fontId="0" fillId="0" borderId="0" xfId="2" applyNumberFormat="1" applyFont="1"/>
    <xf numFmtId="10" fontId="35" fillId="0" borderId="0" xfId="2" applyNumberFormat="1" applyFont="1" applyFill="1" applyBorder="1"/>
    <xf numFmtId="10" fontId="3" fillId="0" borderId="0" xfId="2" applyNumberFormat="1" applyFont="1"/>
    <xf numFmtId="43" fontId="3" fillId="0" borderId="0" xfId="1" applyFont="1"/>
    <xf numFmtId="9" fontId="0" fillId="0" borderId="0" xfId="0" applyNumberFormat="1"/>
    <xf numFmtId="0" fontId="31" fillId="0" borderId="3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2" borderId="75" xfId="70" applyFont="1" applyFill="1" applyBorder="1" applyAlignment="1">
      <alignment horizontal="center" vertical="center" wrapText="1"/>
    </xf>
    <xf numFmtId="0" fontId="39" fillId="2" borderId="2" xfId="70" applyFont="1" applyFill="1" applyBorder="1" applyAlignment="1">
      <alignment horizontal="center" vertical="center" wrapText="1"/>
    </xf>
    <xf numFmtId="0" fontId="39" fillId="2" borderId="76" xfId="70" applyFont="1" applyFill="1" applyBorder="1" applyAlignment="1">
      <alignment horizontal="center" vertical="center" wrapText="1"/>
    </xf>
    <xf numFmtId="0" fontId="39" fillId="0" borderId="77" xfId="70" applyFont="1" applyFill="1" applyBorder="1" applyAlignment="1">
      <alignment horizontal="center" vertical="center" wrapText="1"/>
    </xf>
    <xf numFmtId="0" fontId="39" fillId="38" borderId="78" xfId="70" applyFont="1" applyFill="1" applyBorder="1" applyAlignment="1">
      <alignment horizontal="center" vertical="center" wrapText="1"/>
    </xf>
    <xf numFmtId="0" fontId="39" fillId="38" borderId="79" xfId="70" applyFont="1" applyFill="1" applyBorder="1" applyAlignment="1">
      <alignment horizontal="center" vertical="center" wrapText="1"/>
    </xf>
    <xf numFmtId="0" fontId="39" fillId="38" borderId="80" xfId="70" applyFont="1" applyFill="1" applyBorder="1" applyAlignment="1">
      <alignment horizontal="center" vertical="center" wrapText="1"/>
    </xf>
    <xf numFmtId="37" fontId="40" fillId="38" borderId="81" xfId="70" applyNumberFormat="1" applyFont="1" applyFill="1" applyBorder="1" applyAlignment="1">
      <alignment horizontal="center" vertical="center"/>
    </xf>
    <xf numFmtId="185" fontId="40" fillId="38" borderId="82" xfId="70" applyNumberFormat="1" applyFont="1" applyFill="1" applyBorder="1" applyAlignment="1">
      <alignment horizontal="center" vertical="center"/>
    </xf>
    <xf numFmtId="39" fontId="41" fillId="38" borderId="83" xfId="70" applyNumberFormat="1" applyFont="1" applyFill="1" applyBorder="1" applyAlignment="1">
      <alignment vertical="center"/>
    </xf>
    <xf numFmtId="37" fontId="42" fillId="38" borderId="81" xfId="70" applyNumberFormat="1" applyFont="1" applyFill="1" applyBorder="1" applyAlignment="1">
      <alignment horizontal="right" vertical="center"/>
    </xf>
    <xf numFmtId="186" fontId="42" fillId="38" borderId="82" xfId="47" applyNumberFormat="1" applyFont="1" applyFill="1" applyBorder="1" applyAlignment="1">
      <alignment horizontal="right" vertical="center"/>
    </xf>
    <xf numFmtId="39" fontId="42" fillId="38" borderId="83" xfId="70" applyNumberFormat="1" applyFont="1" applyFill="1" applyBorder="1" applyAlignment="1">
      <alignment horizontal="right" vertical="center"/>
    </xf>
    <xf numFmtId="186" fontId="42" fillId="38" borderId="82" xfId="70" applyNumberFormat="1" applyFont="1" applyFill="1" applyBorder="1" applyAlignment="1">
      <alignment horizontal="right" vertical="center"/>
    </xf>
    <xf numFmtId="186" fontId="40" fillId="38" borderId="82" xfId="70" applyNumberFormat="1" applyFont="1" applyFill="1" applyBorder="1" applyAlignment="1">
      <alignment horizontal="right" vertical="center"/>
    </xf>
    <xf numFmtId="39" fontId="40" fillId="38" borderId="83" xfId="70" applyNumberFormat="1" applyFont="1" applyFill="1" applyBorder="1" applyAlignment="1">
      <alignment horizontal="right" vertical="center"/>
    </xf>
    <xf numFmtId="37" fontId="41" fillId="38" borderId="81" xfId="70" applyNumberFormat="1" applyFont="1" applyFill="1" applyBorder="1" applyAlignment="1">
      <alignment horizontal="right" vertical="center"/>
    </xf>
    <xf numFmtId="186" fontId="41" fillId="38" borderId="82" xfId="47" applyNumberFormat="1" applyFont="1" applyFill="1" applyBorder="1" applyAlignment="1">
      <alignment horizontal="right" vertical="center"/>
    </xf>
    <xf numFmtId="39" fontId="41" fillId="38" borderId="83" xfId="70" applyNumberFormat="1" applyFont="1" applyFill="1" applyBorder="1" applyAlignment="1">
      <alignment horizontal="right" vertical="center"/>
    </xf>
    <xf numFmtId="37" fontId="43" fillId="39" borderId="84" xfId="70" applyNumberFormat="1" applyFont="1" applyFill="1" applyBorder="1" applyAlignment="1">
      <alignment horizontal="right" vertical="center"/>
    </xf>
    <xf numFmtId="186" fontId="42" fillId="39" borderId="85" xfId="47" applyNumberFormat="1" applyFont="1" applyFill="1" applyBorder="1" applyAlignment="1">
      <alignment horizontal="right" vertical="center"/>
    </xf>
    <xf numFmtId="39" fontId="42" fillId="39" borderId="86" xfId="70" applyNumberFormat="1" applyFont="1" applyFill="1" applyBorder="1" applyAlignment="1">
      <alignment horizontal="right" vertical="center"/>
    </xf>
    <xf numFmtId="186" fontId="40" fillId="38" borderId="82" xfId="70" applyNumberFormat="1" applyFont="1" applyFill="1" applyBorder="1" applyAlignment="1">
      <alignment horizontal="center" vertical="center"/>
    </xf>
    <xf numFmtId="39" fontId="40" fillId="38" borderId="83" xfId="70" applyNumberFormat="1" applyFont="1" applyFill="1" applyBorder="1" applyAlignment="1">
      <alignment horizontal="center" vertical="center"/>
    </xf>
    <xf numFmtId="37" fontId="42" fillId="40" borderId="84" xfId="70" applyNumberFormat="1" applyFont="1" applyFill="1" applyBorder="1" applyAlignment="1">
      <alignment horizontal="right" vertical="center"/>
    </xf>
    <xf numFmtId="186" fontId="42" fillId="40" borderId="85" xfId="47" applyNumberFormat="1" applyFont="1" applyFill="1" applyBorder="1" applyAlignment="1">
      <alignment horizontal="right" vertical="center"/>
    </xf>
    <xf numFmtId="39" fontId="42" fillId="40" borderId="86" xfId="70" applyNumberFormat="1" applyFont="1" applyFill="1" applyBorder="1" applyAlignment="1">
      <alignment horizontal="right" vertical="center"/>
    </xf>
    <xf numFmtId="186" fontId="41" fillId="38" borderId="82" xfId="70" applyNumberFormat="1" applyFont="1" applyFill="1" applyBorder="1" applyAlignment="1">
      <alignment horizontal="right" vertical="center"/>
    </xf>
    <xf numFmtId="164" fontId="0" fillId="0" borderId="0" xfId="1" applyNumberFormat="1" applyFont="1"/>
    <xf numFmtId="0" fontId="38" fillId="0" borderId="77" xfId="0" applyFont="1" applyBorder="1" applyAlignment="1">
      <alignment vertical="center"/>
    </xf>
    <xf numFmtId="0" fontId="38" fillId="38" borderId="73" xfId="0" applyFont="1" applyFill="1" applyBorder="1" applyAlignment="1">
      <alignment vertical="center"/>
    </xf>
    <xf numFmtId="0" fontId="44" fillId="38" borderId="0" xfId="70" applyFont="1" applyFill="1" applyAlignment="1">
      <alignment horizontal="left" vertical="center"/>
    </xf>
    <xf numFmtId="0" fontId="45" fillId="38" borderId="0" xfId="70" applyFont="1" applyFill="1" applyAlignment="1">
      <alignment vertical="center"/>
    </xf>
    <xf numFmtId="0" fontId="43" fillId="38" borderId="0" xfId="70" applyFont="1" applyFill="1" applyAlignment="1">
      <alignment horizontal="left" vertical="center"/>
    </xf>
    <xf numFmtId="0" fontId="43" fillId="38" borderId="0" xfId="70" applyFont="1" applyFill="1" applyAlignment="1">
      <alignment vertical="center"/>
    </xf>
    <xf numFmtId="0" fontId="45" fillId="38" borderId="0" xfId="70" applyFont="1" applyFill="1" applyAlignment="1">
      <alignment horizontal="left" vertical="center" indent="1"/>
    </xf>
    <xf numFmtId="0" fontId="43" fillId="39" borderId="87" xfId="70" applyFont="1" applyFill="1" applyBorder="1" applyAlignment="1">
      <alignment horizontal="left" vertical="center"/>
    </xf>
    <xf numFmtId="0" fontId="43" fillId="40" borderId="87" xfId="70" applyFont="1" applyFill="1" applyBorder="1" applyAlignment="1">
      <alignment vertical="center"/>
    </xf>
    <xf numFmtId="0" fontId="44" fillId="38" borderId="0" xfId="70" applyFont="1" applyFill="1" applyAlignment="1">
      <alignment vertical="center"/>
    </xf>
    <xf numFmtId="9" fontId="30" fillId="2" borderId="67" xfId="0" applyNumberFormat="1" applyFont="1" applyFill="1" applyBorder="1" applyAlignment="1">
      <alignment horizontal="right"/>
    </xf>
    <xf numFmtId="0" fontId="32" fillId="0" borderId="2" xfId="0" applyFont="1" applyBorder="1" applyAlignment="1">
      <alignment horizontal="right"/>
    </xf>
    <xf numFmtId="165" fontId="31" fillId="0" borderId="16" xfId="2" applyNumberFormat="1" applyFont="1" applyBorder="1"/>
    <xf numFmtId="0" fontId="31" fillId="0" borderId="42" xfId="0" applyFont="1" applyFill="1" applyBorder="1"/>
    <xf numFmtId="0" fontId="31" fillId="0" borderId="23" xfId="0" applyFont="1" applyBorder="1"/>
    <xf numFmtId="3" fontId="31" fillId="0" borderId="41" xfId="0" applyNumberFormat="1" applyFont="1" applyFill="1" applyBorder="1" applyAlignment="1">
      <alignment horizontal="right"/>
    </xf>
    <xf numFmtId="10" fontId="31" fillId="0" borderId="44" xfId="0" applyNumberFormat="1" applyFont="1" applyBorder="1"/>
    <xf numFmtId="9" fontId="31" fillId="0" borderId="46" xfId="0" applyNumberFormat="1" applyFont="1" applyBorder="1" applyAlignment="1">
      <alignment horizontal="right"/>
    </xf>
    <xf numFmtId="10" fontId="31" fillId="0" borderId="16" xfId="2" applyNumberFormat="1" applyFont="1" applyBorder="1" applyAlignment="1">
      <alignment horizontal="center"/>
    </xf>
    <xf numFmtId="10" fontId="35" fillId="0" borderId="0" xfId="2" applyNumberFormat="1" applyFont="1"/>
    <xf numFmtId="0" fontId="47" fillId="0" borderId="0" xfId="0" applyFont="1"/>
    <xf numFmtId="164" fontId="24" fillId="0" borderId="0" xfId="0" applyNumberFormat="1" applyFont="1"/>
    <xf numFmtId="43" fontId="47" fillId="0" borderId="0" xfId="1" applyFont="1"/>
    <xf numFmtId="9" fontId="24" fillId="0" borderId="0" xfId="0" applyNumberFormat="1" applyFont="1"/>
    <xf numFmtId="10" fontId="47" fillId="0" borderId="0" xfId="2" applyNumberFormat="1" applyFont="1"/>
    <xf numFmtId="10" fontId="24" fillId="0" borderId="0" xfId="2" applyNumberFormat="1" applyFont="1"/>
    <xf numFmtId="0" fontId="24" fillId="0" borderId="0" xfId="0" applyFont="1" applyAlignment="1">
      <alignment horizontal="center"/>
    </xf>
    <xf numFmtId="0" fontId="48" fillId="41" borderId="34" xfId="0" applyFont="1" applyFill="1" applyBorder="1" applyAlignment="1">
      <alignment horizontal="center"/>
    </xf>
    <xf numFmtId="0" fontId="48" fillId="41" borderId="3" xfId="0" applyFont="1" applyFill="1" applyBorder="1" applyAlignment="1">
      <alignment horizontal="center"/>
    </xf>
    <xf numFmtId="0" fontId="48" fillId="41" borderId="35" xfId="0" applyFont="1" applyFill="1" applyBorder="1" applyAlignment="1">
      <alignment horizontal="center"/>
    </xf>
    <xf numFmtId="0" fontId="31" fillId="2" borderId="34" xfId="0" applyFont="1" applyFill="1" applyBorder="1"/>
    <xf numFmtId="0" fontId="32" fillId="2" borderId="3" xfId="0" applyFont="1" applyFill="1" applyBorder="1" applyAlignment="1">
      <alignment horizontal="right"/>
    </xf>
    <xf numFmtId="10" fontId="31" fillId="2" borderId="3" xfId="2" applyNumberFormat="1" applyFont="1" applyFill="1" applyBorder="1"/>
    <xf numFmtId="10" fontId="31" fillId="2" borderId="35" xfId="2" applyNumberFormat="1" applyFont="1" applyFill="1" applyBorder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right"/>
    </xf>
    <xf numFmtId="0" fontId="51" fillId="0" borderId="0" xfId="0" applyFont="1"/>
    <xf numFmtId="0" fontId="50" fillId="2" borderId="68" xfId="0" applyFont="1" applyFill="1" applyBorder="1"/>
    <xf numFmtId="49" fontId="52" fillId="0" borderId="0" xfId="0" applyNumberFormat="1" applyFont="1" applyAlignment="1">
      <alignment horizontal="center"/>
    </xf>
    <xf numFmtId="0" fontId="50" fillId="2" borderId="67" xfId="0" applyFont="1" applyFill="1" applyBorder="1"/>
    <xf numFmtId="10" fontId="50" fillId="2" borderId="67" xfId="0" applyNumberFormat="1" applyFont="1" applyFill="1" applyBorder="1"/>
    <xf numFmtId="0" fontId="52" fillId="0" borderId="40" xfId="0" applyFont="1" applyBorder="1"/>
    <xf numFmtId="0" fontId="51" fillId="0" borderId="32" xfId="0" applyFont="1" applyBorder="1"/>
    <xf numFmtId="0" fontId="52" fillId="0" borderId="41" xfId="0" applyFont="1" applyBorder="1" applyAlignment="1">
      <alignment horizontal="right"/>
    </xf>
    <xf numFmtId="0" fontId="52" fillId="0" borderId="42" xfId="0" applyFont="1" applyBorder="1"/>
    <xf numFmtId="0" fontId="52" fillId="0" borderId="4" xfId="0" applyFont="1" applyBorder="1"/>
    <xf numFmtId="0" fontId="52" fillId="0" borderId="44" xfId="0" applyFont="1" applyBorder="1" applyAlignment="1">
      <alignment horizontal="right"/>
    </xf>
    <xf numFmtId="3" fontId="52" fillId="0" borderId="44" xfId="0" applyNumberFormat="1" applyFont="1" applyBorder="1"/>
    <xf numFmtId="10" fontId="50" fillId="2" borderId="67" xfId="2" applyNumberFormat="1" applyFont="1" applyFill="1" applyBorder="1"/>
    <xf numFmtId="0" fontId="52" fillId="0" borderId="44" xfId="0" applyFont="1" applyBorder="1"/>
    <xf numFmtId="43" fontId="49" fillId="0" borderId="0" xfId="0" applyNumberFormat="1" applyFont="1"/>
    <xf numFmtId="0" fontId="49" fillId="0" borderId="0" xfId="0" applyFont="1" applyAlignment="1">
      <alignment horizontal="center"/>
    </xf>
    <xf numFmtId="183" fontId="52" fillId="0" borderId="4" xfId="0" applyNumberFormat="1" applyFont="1" applyBorder="1"/>
    <xf numFmtId="1" fontId="52" fillId="0" borderId="44" xfId="0" applyNumberFormat="1" applyFont="1" applyBorder="1"/>
    <xf numFmtId="0" fontId="52" fillId="0" borderId="34" xfId="0" applyFont="1" applyBorder="1"/>
    <xf numFmtId="0" fontId="52" fillId="0" borderId="3" xfId="0" applyFont="1" applyBorder="1"/>
    <xf numFmtId="0" fontId="52" fillId="0" borderId="38" xfId="0" applyFont="1" applyBorder="1"/>
    <xf numFmtId="0" fontId="52" fillId="0" borderId="2" xfId="0" applyFont="1" applyBorder="1"/>
    <xf numFmtId="0" fontId="52" fillId="0" borderId="39" xfId="0" applyFont="1" applyBorder="1" applyAlignment="1">
      <alignment horizontal="right"/>
    </xf>
    <xf numFmtId="0" fontId="52" fillId="0" borderId="47" xfId="0" applyFont="1" applyBorder="1"/>
    <xf numFmtId="0" fontId="52" fillId="0" borderId="0" xfId="0" applyFont="1"/>
    <xf numFmtId="0" fontId="52" fillId="0" borderId="43" xfId="0" applyFont="1" applyBorder="1"/>
    <xf numFmtId="164" fontId="53" fillId="2" borderId="32" xfId="1" applyNumberFormat="1" applyFont="1" applyFill="1" applyBorder="1" applyAlignment="1">
      <alignment horizontal="right"/>
    </xf>
    <xf numFmtId="164" fontId="52" fillId="0" borderId="23" xfId="1" applyNumberFormat="1" applyFont="1" applyBorder="1"/>
    <xf numFmtId="164" fontId="52" fillId="0" borderId="36" xfId="1" applyNumberFormat="1" applyFont="1" applyBorder="1"/>
    <xf numFmtId="164" fontId="52" fillId="0" borderId="32" xfId="1" applyNumberFormat="1" applyFont="1" applyBorder="1"/>
    <xf numFmtId="164" fontId="52" fillId="0" borderId="37" xfId="1" applyNumberFormat="1" applyFont="1" applyBorder="1"/>
    <xf numFmtId="0" fontId="49" fillId="0" borderId="42" xfId="0" applyFont="1" applyBorder="1" applyAlignment="1">
      <alignment wrapText="1"/>
    </xf>
    <xf numFmtId="164" fontId="49" fillId="0" borderId="4" xfId="1" applyNumberFormat="1" applyFont="1" applyBorder="1"/>
    <xf numFmtId="164" fontId="49" fillId="0" borderId="47" xfId="1" applyNumberFormat="1" applyFont="1" applyBorder="1"/>
    <xf numFmtId="164" fontId="49" fillId="0" borderId="0" xfId="1" applyNumberFormat="1" applyFont="1"/>
    <xf numFmtId="164" fontId="49" fillId="0" borderId="43" xfId="1" applyNumberFormat="1" applyFont="1" applyBorder="1"/>
    <xf numFmtId="10" fontId="52" fillId="0" borderId="23" xfId="2" applyNumberFormat="1" applyFont="1" applyBorder="1"/>
    <xf numFmtId="10" fontId="50" fillId="2" borderId="4" xfId="2" applyNumberFormat="1" applyFont="1" applyFill="1" applyBorder="1"/>
    <xf numFmtId="43" fontId="52" fillId="0" borderId="5" xfId="0" applyNumberFormat="1" applyFont="1" applyBorder="1"/>
    <xf numFmtId="0" fontId="49" fillId="0" borderId="42" xfId="0" applyFont="1" applyBorder="1"/>
    <xf numFmtId="165" fontId="50" fillId="2" borderId="4" xfId="0" applyNumberFormat="1" applyFont="1" applyFill="1" applyBorder="1" applyAlignment="1">
      <alignment horizontal="right"/>
    </xf>
    <xf numFmtId="3" fontId="52" fillId="0" borderId="44" xfId="0" applyNumberFormat="1" applyFont="1" applyBorder="1" applyAlignment="1">
      <alignment horizontal="right"/>
    </xf>
    <xf numFmtId="43" fontId="50" fillId="2" borderId="4" xfId="0" applyNumberFormat="1" applyFont="1" applyFill="1" applyBorder="1" applyAlignment="1">
      <alignment horizontal="right"/>
    </xf>
    <xf numFmtId="10" fontId="52" fillId="0" borderId="44" xfId="2" applyNumberFormat="1" applyFont="1" applyBorder="1" applyAlignment="1">
      <alignment horizontal="right"/>
    </xf>
    <xf numFmtId="0" fontId="49" fillId="0" borderId="47" xfId="0" applyFont="1" applyBorder="1"/>
    <xf numFmtId="44" fontId="50" fillId="2" borderId="4" xfId="3" applyFont="1" applyFill="1" applyBorder="1" applyAlignment="1">
      <alignment horizontal="right"/>
    </xf>
    <xf numFmtId="10" fontId="52" fillId="0" borderId="4" xfId="0" applyNumberFormat="1" applyFont="1" applyBorder="1"/>
    <xf numFmtId="0" fontId="49" fillId="0" borderId="38" xfId="0" applyFont="1" applyBorder="1"/>
    <xf numFmtId="164" fontId="49" fillId="0" borderId="2" xfId="1" applyNumberFormat="1" applyFont="1" applyBorder="1"/>
    <xf numFmtId="164" fontId="49" fillId="0" borderId="38" xfId="1" applyNumberFormat="1" applyFont="1" applyBorder="1"/>
    <xf numFmtId="164" fontId="49" fillId="0" borderId="39" xfId="1" applyNumberFormat="1" applyFont="1" applyBorder="1"/>
    <xf numFmtId="43" fontId="53" fillId="2" borderId="3" xfId="0" applyNumberFormat="1" applyFont="1" applyFill="1" applyBorder="1" applyAlignment="1">
      <alignment horizontal="right"/>
    </xf>
    <xf numFmtId="164" fontId="52" fillId="0" borderId="3" xfId="1" applyNumberFormat="1" applyFont="1" applyBorder="1"/>
    <xf numFmtId="164" fontId="52" fillId="0" borderId="34" xfId="1" applyNumberFormat="1" applyFont="1" applyBorder="1"/>
    <xf numFmtId="164" fontId="52" fillId="0" borderId="35" xfId="1" applyNumberFormat="1" applyFont="1" applyBorder="1"/>
    <xf numFmtId="164" fontId="52" fillId="0" borderId="4" xfId="1" applyNumberFormat="1" applyFont="1" applyBorder="1"/>
    <xf numFmtId="0" fontId="52" fillId="0" borderId="35" xfId="0" applyFont="1" applyBorder="1"/>
    <xf numFmtId="10" fontId="52" fillId="0" borderId="44" xfId="2" applyNumberFormat="1" applyFont="1" applyBorder="1"/>
    <xf numFmtId="0" fontId="50" fillId="0" borderId="47" xfId="0" applyFont="1" applyBorder="1" applyAlignment="1">
      <alignment horizontal="left" indent="1"/>
    </xf>
    <xf numFmtId="0" fontId="50" fillId="2" borderId="0" xfId="0" applyFont="1" applyFill="1" applyAlignment="1">
      <alignment horizontal="right"/>
    </xf>
    <xf numFmtId="164" fontId="50" fillId="0" borderId="0" xfId="1" applyNumberFormat="1" applyFont="1"/>
    <xf numFmtId="0" fontId="52" fillId="0" borderId="45" xfId="0" applyFont="1" applyBorder="1"/>
    <xf numFmtId="0" fontId="52" fillId="0" borderId="6" xfId="0" applyFont="1" applyBorder="1"/>
    <xf numFmtId="0" fontId="52" fillId="0" borderId="42" xfId="0" applyFont="1" applyBorder="1" applyAlignment="1">
      <alignment horizontal="left"/>
    </xf>
    <xf numFmtId="164" fontId="52" fillId="0" borderId="47" xfId="0" applyNumberFormat="1" applyFont="1" applyBorder="1"/>
    <xf numFmtId="164" fontId="52" fillId="0" borderId="0" xfId="0" applyNumberFormat="1" applyFont="1"/>
    <xf numFmtId="164" fontId="52" fillId="0" borderId="43" xfId="0" applyNumberFormat="1" applyFont="1" applyBorder="1"/>
    <xf numFmtId="164" fontId="50" fillId="2" borderId="4" xfId="0" applyNumberFormat="1" applyFont="1" applyFill="1" applyBorder="1" applyAlignment="1">
      <alignment horizontal="right"/>
    </xf>
    <xf numFmtId="0" fontId="52" fillId="0" borderId="11" xfId="0" applyFont="1" applyBorder="1"/>
    <xf numFmtId="3" fontId="52" fillId="0" borderId="12" xfId="0" applyNumberFormat="1" applyFont="1" applyBorder="1" applyAlignment="1">
      <alignment horizontal="right"/>
    </xf>
    <xf numFmtId="0" fontId="50" fillId="2" borderId="4" xfId="0" applyFont="1" applyFill="1" applyBorder="1" applyAlignment="1">
      <alignment horizontal="right"/>
    </xf>
    <xf numFmtId="0" fontId="52" fillId="0" borderId="48" xfId="0" applyFont="1" applyBorder="1"/>
    <xf numFmtId="0" fontId="50" fillId="2" borderId="5" xfId="0" applyFont="1" applyFill="1" applyBorder="1" applyAlignment="1">
      <alignment horizontal="right"/>
    </xf>
    <xf numFmtId="164" fontId="52" fillId="0" borderId="5" xfId="1" applyNumberFormat="1" applyFont="1" applyBorder="1"/>
    <xf numFmtId="0" fontId="52" fillId="0" borderId="47" xfId="0" applyFont="1" applyBorder="1" applyAlignment="1">
      <alignment horizontal="left"/>
    </xf>
    <xf numFmtId="164" fontId="49" fillId="0" borderId="47" xfId="0" applyNumberFormat="1" applyFont="1" applyBorder="1"/>
    <xf numFmtId="164" fontId="49" fillId="0" borderId="0" xfId="0" applyNumberFormat="1" applyFont="1"/>
    <xf numFmtId="164" fontId="49" fillId="0" borderId="43" xfId="0" applyNumberFormat="1" applyFont="1" applyBorder="1"/>
    <xf numFmtId="0" fontId="52" fillId="0" borderId="13" xfId="0" applyFont="1" applyBorder="1"/>
    <xf numFmtId="0" fontId="52" fillId="0" borderId="42" xfId="0" applyFont="1" applyBorder="1" applyAlignment="1">
      <alignment horizontal="left" indent="1"/>
    </xf>
    <xf numFmtId="10" fontId="52" fillId="0" borderId="20" xfId="2" applyNumberFormat="1" applyFont="1" applyBorder="1"/>
    <xf numFmtId="0" fontId="52" fillId="0" borderId="47" xfId="0" applyFont="1" applyBorder="1" applyAlignment="1">
      <alignment horizontal="left" indent="1"/>
    </xf>
    <xf numFmtId="10" fontId="52" fillId="0" borderId="22" xfId="2" applyNumberFormat="1" applyFont="1" applyBorder="1"/>
    <xf numFmtId="3" fontId="52" fillId="0" borderId="43" xfId="0" applyNumberFormat="1" applyFont="1" applyBorder="1"/>
    <xf numFmtId="164" fontId="52" fillId="0" borderId="47" xfId="1" applyNumberFormat="1" applyFont="1" applyBorder="1"/>
    <xf numFmtId="164" fontId="52" fillId="0" borderId="0" xfId="1" applyNumberFormat="1" applyFont="1"/>
    <xf numFmtId="164" fontId="52" fillId="0" borderId="43" xfId="1" applyNumberFormat="1" applyFont="1" applyBorder="1"/>
    <xf numFmtId="0" fontId="52" fillId="0" borderId="64" xfId="0" applyFont="1" applyBorder="1"/>
    <xf numFmtId="9" fontId="52" fillId="0" borderId="26" xfId="0" applyNumberFormat="1" applyFont="1" applyBorder="1"/>
    <xf numFmtId="3" fontId="52" fillId="0" borderId="65" xfId="0" applyNumberFormat="1" applyFont="1" applyBorder="1"/>
    <xf numFmtId="0" fontId="49" fillId="0" borderId="2" xfId="0" applyFont="1" applyBorder="1"/>
    <xf numFmtId="0" fontId="50" fillId="0" borderId="2" xfId="0" applyFont="1" applyBorder="1"/>
    <xf numFmtId="165" fontId="49" fillId="0" borderId="2" xfId="2" applyNumberFormat="1" applyFont="1" applyBorder="1"/>
    <xf numFmtId="0" fontId="52" fillId="0" borderId="48" xfId="0" applyFont="1" applyBorder="1" applyAlignment="1">
      <alignment horizontal="left" indent="1"/>
    </xf>
    <xf numFmtId="10" fontId="52" fillId="0" borderId="24" xfId="0" applyNumberFormat="1" applyFont="1" applyBorder="1"/>
    <xf numFmtId="3" fontId="52" fillId="0" borderId="49" xfId="0" applyNumberFormat="1" applyFont="1" applyBorder="1"/>
    <xf numFmtId="0" fontId="53" fillId="0" borderId="3" xfId="0" applyFont="1" applyBorder="1" applyAlignment="1">
      <alignment horizontal="right"/>
    </xf>
    <xf numFmtId="10" fontId="52" fillId="0" borderId="21" xfId="2" applyNumberFormat="1" applyFont="1" applyBorder="1"/>
    <xf numFmtId="0" fontId="52" fillId="0" borderId="32" xfId="0" applyFont="1" applyBorder="1"/>
    <xf numFmtId="0" fontId="53" fillId="0" borderId="32" xfId="0" applyFont="1" applyBorder="1" applyAlignment="1">
      <alignment horizontal="right"/>
    </xf>
    <xf numFmtId="167" fontId="49" fillId="0" borderId="0" xfId="0" applyNumberFormat="1" applyFont="1"/>
    <xf numFmtId="9" fontId="52" fillId="0" borderId="66" xfId="0" applyNumberFormat="1" applyFont="1" applyBorder="1"/>
    <xf numFmtId="164" fontId="52" fillId="0" borderId="46" xfId="1" applyNumberFormat="1" applyFont="1" applyBorder="1"/>
    <xf numFmtId="10" fontId="53" fillId="0" borderId="23" xfId="0" applyNumberFormat="1" applyFont="1" applyBorder="1" applyAlignment="1">
      <alignment horizontal="right"/>
    </xf>
    <xf numFmtId="164" fontId="52" fillId="0" borderId="32" xfId="1" applyNumberFormat="1" applyFont="1" applyFill="1" applyBorder="1"/>
    <xf numFmtId="164" fontId="52" fillId="0" borderId="37" xfId="1" applyNumberFormat="1" applyFont="1" applyFill="1" applyBorder="1"/>
    <xf numFmtId="43" fontId="51" fillId="0" borderId="0" xfId="0" applyNumberFormat="1" applyFont="1"/>
    <xf numFmtId="0" fontId="53" fillId="0" borderId="6" xfId="0" applyFont="1" applyBorder="1" applyAlignment="1">
      <alignment horizontal="right"/>
    </xf>
    <xf numFmtId="164" fontId="52" fillId="0" borderId="6" xfId="1" applyNumberFormat="1" applyFont="1" applyBorder="1"/>
    <xf numFmtId="164" fontId="52" fillId="0" borderId="2" xfId="1" applyNumberFormat="1" applyFont="1" applyBorder="1"/>
    <xf numFmtId="164" fontId="52" fillId="0" borderId="39" xfId="1" applyNumberFormat="1" applyFont="1" applyBorder="1"/>
    <xf numFmtId="0" fontId="53" fillId="0" borderId="2" xfId="0" applyFont="1" applyBorder="1" applyAlignment="1">
      <alignment horizontal="right"/>
    </xf>
    <xf numFmtId="165" fontId="52" fillId="0" borderId="16" xfId="2" applyNumberFormat="1" applyFont="1" applyBorder="1"/>
    <xf numFmtId="0" fontId="53" fillId="0" borderId="0" xfId="0" applyFont="1" applyAlignment="1">
      <alignment horizontal="right"/>
    </xf>
    <xf numFmtId="43" fontId="52" fillId="0" borderId="0" xfId="1" applyFont="1"/>
    <xf numFmtId="165" fontId="52" fillId="0" borderId="0" xfId="2" applyNumberFormat="1" applyFont="1"/>
    <xf numFmtId="10" fontId="52" fillId="0" borderId="12" xfId="0" applyNumberFormat="1" applyFont="1" applyBorder="1" applyAlignment="1">
      <alignment horizontal="right"/>
    </xf>
    <xf numFmtId="0" fontId="52" fillId="0" borderId="36" xfId="0" applyFont="1" applyBorder="1" applyAlignment="1">
      <alignment vertical="center"/>
    </xf>
    <xf numFmtId="0" fontId="50" fillId="0" borderId="32" xfId="0" applyFont="1" applyBorder="1"/>
    <xf numFmtId="0" fontId="52" fillId="0" borderId="37" xfId="0" applyFont="1" applyBorder="1" applyAlignment="1">
      <alignment horizontal="center"/>
    </xf>
    <xf numFmtId="0" fontId="52" fillId="0" borderId="17" xfId="0" applyFont="1" applyBorder="1"/>
    <xf numFmtId="164" fontId="52" fillId="0" borderId="18" xfId="1" applyNumberFormat="1" applyFont="1" applyBorder="1" applyAlignment="1">
      <alignment horizontal="right"/>
    </xf>
    <xf numFmtId="0" fontId="52" fillId="0" borderId="38" xfId="0" applyFont="1" applyBorder="1" applyAlignment="1">
      <alignment vertical="center"/>
    </xf>
    <xf numFmtId="164" fontId="49" fillId="2" borderId="38" xfId="0" applyNumberFormat="1" applyFont="1" applyFill="1" applyBorder="1"/>
    <xf numFmtId="164" fontId="49" fillId="2" borderId="2" xfId="0" applyNumberFormat="1" applyFont="1" applyFill="1" applyBorder="1"/>
    <xf numFmtId="164" fontId="49" fillId="0" borderId="2" xfId="0" applyNumberFormat="1" applyFont="1" applyFill="1" applyBorder="1"/>
    <xf numFmtId="0" fontId="52" fillId="0" borderId="15" xfId="0" applyFont="1" applyBorder="1"/>
    <xf numFmtId="165" fontId="52" fillId="0" borderId="2" xfId="2" applyNumberFormat="1" applyFont="1" applyBorder="1" applyAlignment="1">
      <alignment horizontal="center"/>
    </xf>
    <xf numFmtId="165" fontId="52" fillId="0" borderId="16" xfId="2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3" fontId="52" fillId="0" borderId="20" xfId="0" applyNumberFormat="1" applyFont="1" applyBorder="1" applyAlignment="1">
      <alignment horizontal="right"/>
    </xf>
    <xf numFmtId="164" fontId="52" fillId="0" borderId="12" xfId="1" applyNumberFormat="1" applyFont="1" applyBorder="1"/>
    <xf numFmtId="0" fontId="52" fillId="0" borderId="19" xfId="0" applyFont="1" applyBorder="1"/>
    <xf numFmtId="164" fontId="50" fillId="0" borderId="7" xfId="0" applyNumberFormat="1" applyFont="1" applyBorder="1"/>
    <xf numFmtId="164" fontId="49" fillId="0" borderId="7" xfId="0" applyNumberFormat="1" applyFont="1" applyBorder="1"/>
    <xf numFmtId="165" fontId="52" fillId="0" borderId="70" xfId="0" applyNumberFormat="1" applyFont="1" applyBorder="1" applyAlignment="1">
      <alignment horizontal="center"/>
    </xf>
    <xf numFmtId="164" fontId="52" fillId="0" borderId="21" xfId="1" applyNumberFormat="1" applyFont="1" applyBorder="1" applyAlignment="1">
      <alignment horizontal="right"/>
    </xf>
    <xf numFmtId="164" fontId="52" fillId="0" borderId="12" xfId="1" applyNumberFormat="1" applyFont="1" applyBorder="1" applyAlignment="1">
      <alignment horizontal="right"/>
    </xf>
    <xf numFmtId="165" fontId="52" fillId="0" borderId="71" xfId="0" applyNumberFormat="1" applyFont="1" applyBorder="1" applyAlignment="1">
      <alignment horizontal="center"/>
    </xf>
    <xf numFmtId="164" fontId="52" fillId="0" borderId="12" xfId="0" applyNumberFormat="1" applyFont="1" applyBorder="1"/>
    <xf numFmtId="3" fontId="52" fillId="0" borderId="25" xfId="0" applyNumberFormat="1" applyFont="1" applyBorder="1" applyAlignment="1">
      <alignment horizontal="right"/>
    </xf>
    <xf numFmtId="3" fontId="52" fillId="0" borderId="14" xfId="0" applyNumberFormat="1" applyFont="1" applyBorder="1" applyAlignment="1">
      <alignment horizontal="right"/>
    </xf>
    <xf numFmtId="0" fontId="54" fillId="0" borderId="0" xfId="0" applyFont="1"/>
    <xf numFmtId="164" fontId="51" fillId="0" borderId="0" xfId="0" applyNumberFormat="1" applyFont="1"/>
    <xf numFmtId="165" fontId="50" fillId="2" borderId="67" xfId="0" applyNumberFormat="1" applyFont="1" applyFill="1" applyBorder="1"/>
    <xf numFmtId="165" fontId="18" fillId="41" borderId="3" xfId="2" applyNumberFormat="1" applyFont="1" applyFill="1" applyBorder="1"/>
    <xf numFmtId="165" fontId="18" fillId="41" borderId="35" xfId="2" applyNumberFormat="1" applyFont="1" applyFill="1" applyBorder="1"/>
    <xf numFmtId="43" fontId="0" fillId="0" borderId="0" xfId="1" applyFont="1"/>
    <xf numFmtId="167" fontId="0" fillId="0" borderId="0" xfId="0" applyNumberFormat="1"/>
    <xf numFmtId="0" fontId="0" fillId="38" borderId="0" xfId="0" applyFill="1"/>
    <xf numFmtId="0" fontId="31" fillId="38" borderId="38" xfId="0" applyFont="1" applyFill="1" applyBorder="1"/>
    <xf numFmtId="0" fontId="31" fillId="38" borderId="2" xfId="0" applyFont="1" applyFill="1" applyBorder="1"/>
    <xf numFmtId="0" fontId="31" fillId="38" borderId="39" xfId="0" applyFont="1" applyFill="1" applyBorder="1" applyAlignment="1">
      <alignment horizontal="right"/>
    </xf>
    <xf numFmtId="0" fontId="29" fillId="38" borderId="0" xfId="0" applyFont="1" applyFill="1"/>
    <xf numFmtId="0" fontId="31" fillId="38" borderId="47" xfId="0" applyFont="1" applyFill="1" applyBorder="1" applyAlignment="1">
      <alignment horizontal="left" indent="1"/>
    </xf>
    <xf numFmtId="3" fontId="31" fillId="38" borderId="43" xfId="0" applyNumberFormat="1" applyFont="1" applyFill="1" applyBorder="1"/>
    <xf numFmtId="0" fontId="31" fillId="38" borderId="36" xfId="0" applyFont="1" applyFill="1" applyBorder="1"/>
    <xf numFmtId="0" fontId="31" fillId="38" borderId="47" xfId="0" applyFont="1" applyFill="1" applyBorder="1"/>
    <xf numFmtId="0" fontId="0" fillId="38" borderId="0" xfId="0" applyFill="1" applyBorder="1"/>
    <xf numFmtId="0" fontId="31" fillId="38" borderId="0" xfId="0" applyFont="1" applyFill="1" applyBorder="1"/>
    <xf numFmtId="183" fontId="31" fillId="38" borderId="0" xfId="0" applyNumberFormat="1" applyFont="1" applyFill="1" applyBorder="1"/>
    <xf numFmtId="0" fontId="29" fillId="38" borderId="0" xfId="0" applyFont="1" applyFill="1" applyBorder="1"/>
    <xf numFmtId="10" fontId="31" fillId="38" borderId="0" xfId="2" applyNumberFormat="1" applyFont="1" applyFill="1" applyBorder="1"/>
    <xf numFmtId="43" fontId="31" fillId="38" borderId="0" xfId="0" applyNumberFormat="1" applyFont="1" applyFill="1" applyBorder="1"/>
    <xf numFmtId="3" fontId="31" fillId="38" borderId="0" xfId="0" applyNumberFormat="1" applyFont="1" applyFill="1" applyBorder="1" applyAlignment="1">
      <alignment horizontal="right"/>
    </xf>
    <xf numFmtId="10" fontId="31" fillId="38" borderId="0" xfId="0" applyNumberFormat="1" applyFont="1" applyFill="1" applyBorder="1"/>
    <xf numFmtId="164" fontId="31" fillId="38" borderId="0" xfId="1" applyNumberFormat="1" applyFont="1" applyFill="1" applyBorder="1"/>
    <xf numFmtId="0" fontId="24" fillId="38" borderId="0" xfId="0" applyFont="1" applyFill="1" applyBorder="1"/>
    <xf numFmtId="164" fontId="31" fillId="38" borderId="0" xfId="1" applyNumberFormat="1" applyFont="1" applyFill="1" applyBorder="1" applyAlignment="1">
      <alignment horizontal="right"/>
    </xf>
    <xf numFmtId="0" fontId="31" fillId="38" borderId="43" xfId="0" applyFont="1" applyFill="1" applyBorder="1" applyAlignment="1">
      <alignment horizontal="right"/>
    </xf>
    <xf numFmtId="0" fontId="31" fillId="38" borderId="43" xfId="0" applyFont="1" applyFill="1" applyBorder="1"/>
    <xf numFmtId="1" fontId="31" fillId="38" borderId="43" xfId="0" applyNumberFormat="1" applyFont="1" applyFill="1" applyBorder="1"/>
    <xf numFmtId="164" fontId="33" fillId="38" borderId="43" xfId="1" applyNumberFormat="1" applyFont="1" applyFill="1" applyBorder="1" applyAlignment="1">
      <alignment horizontal="right"/>
    </xf>
    <xf numFmtId="3" fontId="31" fillId="38" borderId="43" xfId="0" applyNumberFormat="1" applyFont="1" applyFill="1" applyBorder="1" applyAlignment="1">
      <alignment horizontal="right"/>
    </xf>
    <xf numFmtId="10" fontId="31" fillId="38" borderId="43" xfId="2" applyNumberFormat="1" applyFont="1" applyFill="1" applyBorder="1" applyAlignment="1">
      <alignment horizontal="right"/>
    </xf>
    <xf numFmtId="10" fontId="31" fillId="38" borderId="43" xfId="2" applyNumberFormat="1" applyFont="1" applyFill="1" applyBorder="1"/>
    <xf numFmtId="164" fontId="31" fillId="38" borderId="39" xfId="1" applyNumberFormat="1" applyFont="1" applyFill="1" applyBorder="1" applyAlignment="1">
      <alignment horizontal="right" indent="1"/>
    </xf>
    <xf numFmtId="0" fontId="2" fillId="38" borderId="0" xfId="0" applyFont="1" applyFill="1"/>
    <xf numFmtId="164" fontId="31" fillId="38" borderId="3" xfId="1" applyNumberFormat="1" applyFont="1" applyFill="1" applyBorder="1"/>
    <xf numFmtId="164" fontId="31" fillId="38" borderId="35" xfId="1" applyNumberFormat="1" applyFont="1" applyFill="1" applyBorder="1"/>
    <xf numFmtId="165" fontId="55" fillId="38" borderId="0" xfId="2" applyNumberFormat="1" applyFont="1" applyFill="1"/>
    <xf numFmtId="0" fontId="32" fillId="38" borderId="3" xfId="0" applyFont="1" applyFill="1" applyBorder="1" applyAlignment="1">
      <alignment horizontal="right"/>
    </xf>
    <xf numFmtId="0" fontId="32" fillId="38" borderId="0" xfId="0" applyFont="1" applyFill="1" applyBorder="1" applyAlignment="1">
      <alignment horizontal="right"/>
    </xf>
    <xf numFmtId="0" fontId="31" fillId="38" borderId="34" xfId="0" applyFont="1" applyFill="1" applyBorder="1"/>
    <xf numFmtId="10" fontId="32" fillId="38" borderId="3" xfId="0" applyNumberFormat="1" applyFont="1" applyFill="1" applyBorder="1" applyAlignment="1">
      <alignment horizontal="right"/>
    </xf>
    <xf numFmtId="10" fontId="32" fillId="38" borderId="0" xfId="0" applyNumberFormat="1" applyFont="1" applyFill="1" applyBorder="1" applyAlignment="1">
      <alignment horizontal="right"/>
    </xf>
    <xf numFmtId="0" fontId="31" fillId="38" borderId="32" xfId="0" applyFont="1" applyFill="1" applyBorder="1"/>
    <xf numFmtId="0" fontId="31" fillId="38" borderId="0" xfId="0" applyFont="1" applyFill="1"/>
    <xf numFmtId="0" fontId="32" fillId="38" borderId="0" xfId="0" applyFont="1" applyFill="1" applyAlignment="1">
      <alignment horizontal="right"/>
    </xf>
    <xf numFmtId="43" fontId="31" fillId="38" borderId="0" xfId="1" applyFont="1" applyFill="1"/>
    <xf numFmtId="165" fontId="31" fillId="38" borderId="0" xfId="2" applyNumberFormat="1" applyFont="1" applyFill="1"/>
    <xf numFmtId="0" fontId="29" fillId="38" borderId="0" xfId="0" applyFont="1" applyFill="1" applyAlignment="1">
      <alignment horizontal="center"/>
    </xf>
    <xf numFmtId="0" fontId="31" fillId="38" borderId="34" xfId="0" applyFont="1" applyFill="1" applyBorder="1" applyAlignment="1">
      <alignment vertical="center"/>
    </xf>
    <xf numFmtId="0" fontId="30" fillId="38" borderId="3" xfId="0" applyFont="1" applyFill="1" applyBorder="1"/>
    <xf numFmtId="164" fontId="29" fillId="38" borderId="3" xfId="0" applyNumberFormat="1" applyFont="1" applyFill="1" applyBorder="1"/>
    <xf numFmtId="164" fontId="29" fillId="38" borderId="35" xfId="0" applyNumberFormat="1" applyFont="1" applyFill="1" applyBorder="1"/>
    <xf numFmtId="0" fontId="31" fillId="38" borderId="0" xfId="0" applyFont="1" applyFill="1" applyAlignment="1">
      <alignment vertical="center"/>
    </xf>
    <xf numFmtId="0" fontId="30" fillId="38" borderId="0" xfId="0" applyFont="1" applyFill="1"/>
    <xf numFmtId="164" fontId="29" fillId="38" borderId="0" xfId="0" applyNumberFormat="1" applyFont="1" applyFill="1"/>
    <xf numFmtId="164" fontId="29" fillId="38" borderId="0" xfId="1" applyNumberFormat="1" applyFont="1" applyFill="1"/>
    <xf numFmtId="0" fontId="31" fillId="38" borderId="59" xfId="0" applyFont="1" applyFill="1" applyBorder="1"/>
    <xf numFmtId="164" fontId="30" fillId="38" borderId="60" xfId="0" applyNumberFormat="1" applyFont="1" applyFill="1" applyBorder="1"/>
    <xf numFmtId="164" fontId="29" fillId="38" borderId="60" xfId="0" applyNumberFormat="1" applyFont="1" applyFill="1" applyBorder="1"/>
    <xf numFmtId="164" fontId="29" fillId="38" borderId="61" xfId="0" applyNumberFormat="1" applyFont="1" applyFill="1" applyBorder="1"/>
    <xf numFmtId="0" fontId="31" fillId="38" borderId="62" xfId="0" applyFont="1" applyFill="1" applyBorder="1"/>
    <xf numFmtId="164" fontId="30" fillId="38" borderId="8" xfId="0" applyNumberFormat="1" applyFont="1" applyFill="1" applyBorder="1"/>
    <xf numFmtId="164" fontId="29" fillId="38" borderId="8" xfId="0" applyNumberFormat="1" applyFont="1" applyFill="1" applyBorder="1"/>
    <xf numFmtId="164" fontId="29" fillId="38" borderId="63" xfId="0" applyNumberFormat="1" applyFont="1" applyFill="1" applyBorder="1"/>
    <xf numFmtId="164" fontId="0" fillId="38" borderId="0" xfId="1" applyNumberFormat="1" applyFont="1" applyFill="1"/>
    <xf numFmtId="10" fontId="0" fillId="38" borderId="0" xfId="2" applyNumberFormat="1" applyFont="1" applyFill="1"/>
    <xf numFmtId="43" fontId="0" fillId="38" borderId="0" xfId="0" applyNumberFormat="1" applyFill="1"/>
    <xf numFmtId="164" fontId="0" fillId="38" borderId="0" xfId="0" applyNumberFormat="1" applyFill="1"/>
    <xf numFmtId="9" fontId="31" fillId="38" borderId="2" xfId="0" applyNumberFormat="1" applyFont="1" applyFill="1" applyBorder="1"/>
    <xf numFmtId="3" fontId="31" fillId="38" borderId="32" xfId="0" applyNumberFormat="1" applyFont="1" applyFill="1" applyBorder="1" applyAlignment="1">
      <alignment horizontal="right"/>
    </xf>
    <xf numFmtId="165" fontId="31" fillId="38" borderId="3" xfId="2" applyNumberFormat="1" applyFont="1" applyFill="1" applyBorder="1" applyAlignment="1">
      <alignment horizontal="right"/>
    </xf>
    <xf numFmtId="164" fontId="56" fillId="38" borderId="3" xfId="0" applyNumberFormat="1" applyFont="1" applyFill="1" applyBorder="1" applyAlignment="1">
      <alignment horizontal="right"/>
    </xf>
    <xf numFmtId="165" fontId="57" fillId="41" borderId="89" xfId="0" applyNumberFormat="1" applyFont="1" applyFill="1" applyBorder="1" applyAlignment="1">
      <alignment horizontal="center"/>
    </xf>
    <xf numFmtId="0" fontId="57" fillId="41" borderId="3" xfId="0" applyFont="1" applyFill="1" applyBorder="1"/>
    <xf numFmtId="0" fontId="58" fillId="41" borderId="3" xfId="0" applyFont="1" applyFill="1" applyBorder="1" applyAlignment="1">
      <alignment horizontal="right"/>
    </xf>
    <xf numFmtId="164" fontId="33" fillId="0" borderId="43" xfId="1" applyNumberFormat="1" applyFont="1" applyBorder="1"/>
    <xf numFmtId="10" fontId="33" fillId="0" borderId="43" xfId="2" applyNumberFormat="1" applyFont="1" applyBorder="1"/>
    <xf numFmtId="0" fontId="24" fillId="2" borderId="0" xfId="0" applyFont="1" applyFill="1"/>
    <xf numFmtId="164" fontId="52" fillId="0" borderId="39" xfId="1" applyNumberFormat="1" applyFont="1" applyBorder="1" applyAlignment="1">
      <alignment horizontal="right" indent="1"/>
    </xf>
    <xf numFmtId="164" fontId="49" fillId="0" borderId="0" xfId="1" applyNumberFormat="1" applyFont="1" applyBorder="1"/>
    <xf numFmtId="43" fontId="30" fillId="2" borderId="4" xfId="0" applyNumberFormat="1" applyFont="1" applyFill="1" applyBorder="1" applyAlignment="1">
      <alignment horizontal="right"/>
    </xf>
    <xf numFmtId="0" fontId="50" fillId="2" borderId="0" xfId="0" applyFont="1" applyFill="1" applyBorder="1" applyAlignment="1">
      <alignment horizontal="right"/>
    </xf>
    <xf numFmtId="3" fontId="0" fillId="0" borderId="0" xfId="0" applyNumberFormat="1"/>
    <xf numFmtId="8" fontId="0" fillId="0" borderId="0" xfId="0" applyNumberFormat="1"/>
    <xf numFmtId="10" fontId="52" fillId="3" borderId="4" xfId="0" applyNumberFormat="1" applyFont="1" applyFill="1" applyBorder="1"/>
    <xf numFmtId="43" fontId="0" fillId="38" borderId="0" xfId="1" applyFont="1" applyFill="1"/>
    <xf numFmtId="0" fontId="0" fillId="2" borderId="33" xfId="0" applyFill="1" applyBorder="1"/>
    <xf numFmtId="44" fontId="0" fillId="2" borderId="33" xfId="3" applyFont="1" applyFill="1" applyBorder="1"/>
    <xf numFmtId="2" fontId="0" fillId="2" borderId="33" xfId="3" applyNumberFormat="1" applyFont="1" applyFill="1" applyBorder="1"/>
    <xf numFmtId="164" fontId="0" fillId="2" borderId="1" xfId="1" applyNumberFormat="1" applyFont="1" applyFill="1" applyBorder="1"/>
    <xf numFmtId="164" fontId="31" fillId="42" borderId="23" xfId="1" applyNumberFormat="1" applyFont="1" applyFill="1" applyBorder="1"/>
    <xf numFmtId="164" fontId="31" fillId="42" borderId="32" xfId="1" applyNumberFormat="1" applyFont="1" applyFill="1" applyBorder="1"/>
    <xf numFmtId="3" fontId="31" fillId="0" borderId="44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164" fontId="31" fillId="0" borderId="43" xfId="0" applyNumberFormat="1" applyFont="1" applyBorder="1" applyAlignment="1">
      <alignment horizontal="center"/>
    </xf>
    <xf numFmtId="164" fontId="52" fillId="42" borderId="23" xfId="1" applyNumberFormat="1" applyFont="1" applyFill="1" applyBorder="1"/>
    <xf numFmtId="164" fontId="52" fillId="42" borderId="32" xfId="1" applyNumberFormat="1" applyFont="1" applyFill="1" applyBorder="1"/>
    <xf numFmtId="3" fontId="0" fillId="0" borderId="28" xfId="0" applyNumberFormat="1" applyBorder="1" applyAlignment="1">
      <alignment horizontal="left"/>
    </xf>
    <xf numFmtId="164" fontId="31" fillId="0" borderId="32" xfId="1" applyNumberFormat="1" applyFont="1" applyFill="1" applyBorder="1"/>
    <xf numFmtId="164" fontId="33" fillId="0" borderId="32" xfId="0" applyNumberFormat="1" applyFont="1" applyFill="1" applyBorder="1"/>
    <xf numFmtId="164" fontId="29" fillId="0" borderId="2" xfId="0" applyNumberFormat="1" applyFont="1" applyFill="1" applyBorder="1"/>
    <xf numFmtId="164" fontId="33" fillId="3" borderId="43" xfId="1" applyNumberFormat="1" applyFont="1" applyFill="1" applyBorder="1"/>
    <xf numFmtId="3" fontId="31" fillId="0" borderId="49" xfId="0" applyNumberFormat="1" applyFont="1" applyFill="1" applyBorder="1" applyAlignment="1">
      <alignment horizontal="right"/>
    </xf>
    <xf numFmtId="3" fontId="52" fillId="0" borderId="49" xfId="0" applyNumberFormat="1" applyFont="1" applyFill="1" applyBorder="1" applyAlignment="1">
      <alignment horizontal="right"/>
    </xf>
    <xf numFmtId="10" fontId="31" fillId="3" borderId="0" xfId="0" applyNumberFormat="1" applyFont="1" applyFill="1" applyBorder="1" applyAlignment="1">
      <alignment horizontal="center"/>
    </xf>
    <xf numFmtId="0" fontId="0" fillId="0" borderId="34" xfId="0" applyBorder="1"/>
    <xf numFmtId="0" fontId="2" fillId="0" borderId="34" xfId="0" applyFont="1" applyBorder="1"/>
    <xf numFmtId="0" fontId="2" fillId="0" borderId="3" xfId="0" applyFont="1" applyBorder="1"/>
    <xf numFmtId="44" fontId="30" fillId="2" borderId="0" xfId="3" applyFont="1" applyFill="1" applyBorder="1" applyAlignment="1">
      <alignment horizontal="right"/>
    </xf>
    <xf numFmtId="164" fontId="50" fillId="2" borderId="0" xfId="1" applyNumberFormat="1" applyFont="1" applyFill="1" applyBorder="1" applyAlignment="1">
      <alignment horizontal="right"/>
    </xf>
    <xf numFmtId="44" fontId="30" fillId="2" borderId="2" xfId="3" applyFont="1" applyFill="1" applyBorder="1" applyAlignment="1">
      <alignment horizontal="right"/>
    </xf>
    <xf numFmtId="164" fontId="30" fillId="2" borderId="0" xfId="1" applyNumberFormat="1" applyFont="1" applyFill="1" applyBorder="1" applyAlignment="1">
      <alignment horizontal="right"/>
    </xf>
    <xf numFmtId="164" fontId="31" fillId="38" borderId="39" xfId="2" applyNumberFormat="1" applyFont="1" applyFill="1" applyBorder="1"/>
    <xf numFmtId="184" fontId="31" fillId="0" borderId="0" xfId="0" applyNumberFormat="1" applyFont="1" applyBorder="1"/>
    <xf numFmtId="10" fontId="31" fillId="0" borderId="43" xfId="0" applyNumberFormat="1" applyFont="1" applyBorder="1" applyAlignment="1">
      <alignment horizontal="right"/>
    </xf>
    <xf numFmtId="10" fontId="31" fillId="0" borderId="88" xfId="0" applyNumberFormat="1" applyFont="1" applyFill="1" applyBorder="1" applyAlignment="1">
      <alignment horizontal="center"/>
    </xf>
    <xf numFmtId="10" fontId="30" fillId="2" borderId="0" xfId="0" applyNumberFormat="1" applyFont="1" applyFill="1" applyBorder="1" applyAlignment="1">
      <alignment horizontal="right"/>
    </xf>
    <xf numFmtId="10" fontId="50" fillId="2" borderId="0" xfId="0" applyNumberFormat="1" applyFont="1" applyFill="1" applyAlignment="1">
      <alignment horizontal="right"/>
    </xf>
    <xf numFmtId="164" fontId="29" fillId="2" borderId="60" xfId="0" applyNumberFormat="1" applyFont="1" applyFill="1" applyBorder="1"/>
    <xf numFmtId="164" fontId="29" fillId="2" borderId="8" xfId="0" applyNumberFormat="1" applyFont="1" applyFill="1" applyBorder="1"/>
    <xf numFmtId="164" fontId="31" fillId="2" borderId="32" xfId="1" applyNumberFormat="1" applyFont="1" applyFill="1" applyBorder="1"/>
    <xf numFmtId="164" fontId="52" fillId="2" borderId="32" xfId="1" applyNumberFormat="1" applyFont="1" applyFill="1" applyBorder="1"/>
    <xf numFmtId="0" fontId="52" fillId="0" borderId="3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0" fillId="0" borderId="90" xfId="0" applyBorder="1"/>
    <xf numFmtId="164" fontId="0" fillId="0" borderId="90" xfId="0" applyNumberFormat="1" applyBorder="1"/>
    <xf numFmtId="164" fontId="29" fillId="0" borderId="90" xfId="1" applyNumberFormat="1" applyFont="1" applyFill="1" applyBorder="1"/>
    <xf numFmtId="164" fontId="29" fillId="0" borderId="91" xfId="1" applyNumberFormat="1" applyFont="1" applyBorder="1"/>
    <xf numFmtId="0" fontId="31" fillId="0" borderId="88" xfId="0" applyFont="1" applyFill="1" applyBorder="1" applyAlignment="1">
      <alignment horizontal="center"/>
    </xf>
    <xf numFmtId="164" fontId="2" fillId="0" borderId="88" xfId="0" applyNumberFormat="1" applyFont="1" applyBorder="1"/>
    <xf numFmtId="10" fontId="31" fillId="3" borderId="4" xfId="0" applyNumberFormat="1" applyFont="1" applyFill="1" applyBorder="1"/>
    <xf numFmtId="0" fontId="59" fillId="38" borderId="0" xfId="0" applyFont="1" applyFill="1" applyAlignment="1">
      <alignment horizontal="right"/>
    </xf>
    <xf numFmtId="164" fontId="59" fillId="38" borderId="0" xfId="0" applyNumberFormat="1" applyFont="1" applyFill="1" applyAlignment="1">
      <alignment horizontal="right"/>
    </xf>
    <xf numFmtId="164" fontId="0" fillId="0" borderId="3" xfId="1" applyNumberFormat="1" applyFont="1" applyBorder="1"/>
    <xf numFmtId="9" fontId="0" fillId="0" borderId="35" xfId="0" applyNumberFormat="1" applyBorder="1"/>
    <xf numFmtId="164" fontId="0" fillId="0" borderId="35" xfId="1" applyNumberFormat="1" applyFont="1" applyBorder="1"/>
    <xf numFmtId="0" fontId="2" fillId="0" borderId="35" xfId="0" applyFont="1" applyBorder="1"/>
    <xf numFmtId="8" fontId="2" fillId="0" borderId="35" xfId="0" applyNumberFormat="1" applyFont="1" applyBorder="1"/>
    <xf numFmtId="8" fontId="2" fillId="0" borderId="35" xfId="0" applyNumberFormat="1" applyFont="1" applyBorder="1" applyAlignment="1">
      <alignment horizontal="left" indent="2"/>
    </xf>
    <xf numFmtId="0" fontId="2" fillId="0" borderId="88" xfId="0" applyFont="1" applyBorder="1"/>
    <xf numFmtId="8" fontId="2" fillId="0" borderId="88" xfId="0" applyNumberFormat="1" applyFont="1" applyBorder="1" applyAlignment="1">
      <alignment horizontal="left" indent="2"/>
    </xf>
    <xf numFmtId="8" fontId="2" fillId="0" borderId="88" xfId="0" applyNumberFormat="1" applyFont="1" applyBorder="1"/>
    <xf numFmtId="164" fontId="60" fillId="8" borderId="54" xfId="11" applyNumberFormat="1" applyFont="1"/>
    <xf numFmtId="0" fontId="61" fillId="7" borderId="53" xfId="10" applyFont="1"/>
    <xf numFmtId="164" fontId="32" fillId="2" borderId="3" xfId="0" applyNumberFormat="1" applyFont="1" applyFill="1" applyBorder="1" applyAlignment="1">
      <alignment horizontal="right"/>
    </xf>
    <xf numFmtId="164" fontId="53" fillId="2" borderId="3" xfId="0" applyNumberFormat="1" applyFont="1" applyFill="1" applyBorder="1" applyAlignment="1">
      <alignment horizontal="right"/>
    </xf>
    <xf numFmtId="10" fontId="50" fillId="2" borderId="4" xfId="0" applyNumberFormat="1" applyFont="1" applyFill="1" applyBorder="1" applyAlignment="1">
      <alignment horizontal="right"/>
    </xf>
    <xf numFmtId="10" fontId="30" fillId="2" borderId="4" xfId="0" applyNumberFormat="1" applyFont="1" applyFill="1" applyBorder="1" applyAlignment="1">
      <alignment horizontal="right"/>
    </xf>
    <xf numFmtId="0" fontId="62" fillId="38" borderId="0" xfId="0" applyFont="1" applyFill="1"/>
    <xf numFmtId="43" fontId="24" fillId="38" borderId="0" xfId="0" applyNumberFormat="1" applyFont="1" applyFill="1" applyBorder="1"/>
    <xf numFmtId="3" fontId="31" fillId="38" borderId="39" xfId="0" applyNumberFormat="1" applyFont="1" applyFill="1" applyBorder="1"/>
    <xf numFmtId="164" fontId="31" fillId="38" borderId="39" xfId="1" applyNumberFormat="1" applyFont="1" applyFill="1" applyBorder="1"/>
    <xf numFmtId="3" fontId="31" fillId="38" borderId="37" xfId="0" applyNumberFormat="1" applyFont="1" applyFill="1" applyBorder="1" applyAlignment="1">
      <alignment horizontal="right"/>
    </xf>
    <xf numFmtId="10" fontId="31" fillId="38" borderId="43" xfId="0" applyNumberFormat="1" applyFont="1" applyFill="1" applyBorder="1" applyAlignment="1">
      <alignment horizontal="right"/>
    </xf>
    <xf numFmtId="164" fontId="31" fillId="38" borderId="39" xfId="1" applyNumberFormat="1" applyFont="1" applyFill="1" applyBorder="1" applyAlignment="1">
      <alignment horizontal="right"/>
    </xf>
    <xf numFmtId="10" fontId="31" fillId="38" borderId="35" xfId="2" applyNumberFormat="1" applyFont="1" applyFill="1" applyBorder="1" applyAlignment="1">
      <alignment horizontal="right" indent="1"/>
    </xf>
    <xf numFmtId="164" fontId="31" fillId="38" borderId="37" xfId="1" applyNumberFormat="1" applyFont="1" applyFill="1" applyBorder="1"/>
    <xf numFmtId="164" fontId="31" fillId="38" borderId="43" xfId="1" applyNumberFormat="1" applyFont="1" applyFill="1" applyBorder="1"/>
    <xf numFmtId="164" fontId="31" fillId="38" borderId="43" xfId="1" applyNumberFormat="1" applyFont="1" applyFill="1" applyBorder="1" applyAlignment="1">
      <alignment horizontal="right"/>
    </xf>
    <xf numFmtId="164" fontId="31" fillId="38" borderId="43" xfId="0" applyNumberFormat="1" applyFont="1" applyFill="1" applyBorder="1"/>
    <xf numFmtId="3" fontId="31" fillId="38" borderId="2" xfId="0" applyNumberFormat="1" applyFont="1" applyFill="1" applyBorder="1" applyAlignment="1">
      <alignment horizontal="right"/>
    </xf>
    <xf numFmtId="3" fontId="31" fillId="38" borderId="39" xfId="0" applyNumberFormat="1" applyFont="1" applyFill="1" applyBorder="1" applyAlignment="1">
      <alignment horizontal="right"/>
    </xf>
    <xf numFmtId="0" fontId="57" fillId="41" borderId="34" xfId="0" applyFont="1" applyFill="1" applyBorder="1" applyAlignment="1">
      <alignment horizontal="center"/>
    </xf>
    <xf numFmtId="0" fontId="57" fillId="41" borderId="3" xfId="0" applyFont="1" applyFill="1" applyBorder="1" applyAlignment="1">
      <alignment horizontal="center"/>
    </xf>
    <xf numFmtId="0" fontId="57" fillId="41" borderId="35" xfId="0" applyFont="1" applyFill="1" applyBorder="1" applyAlignment="1">
      <alignment horizontal="center"/>
    </xf>
    <xf numFmtId="0" fontId="31" fillId="38" borderId="36" xfId="0" applyFont="1" applyFill="1" applyBorder="1" applyAlignment="1">
      <alignment horizontal="center"/>
    </xf>
    <xf numFmtId="0" fontId="31" fillId="38" borderId="32" xfId="0" applyFont="1" applyFill="1" applyBorder="1" applyAlignment="1">
      <alignment horizontal="center"/>
    </xf>
    <xf numFmtId="0" fontId="31" fillId="38" borderId="37" xfId="0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49" fontId="31" fillId="0" borderId="34" xfId="0" applyNumberFormat="1" applyFont="1" applyBorder="1" applyAlignment="1">
      <alignment horizontal="center"/>
    </xf>
    <xf numFmtId="49" fontId="31" fillId="0" borderId="3" xfId="0" applyNumberFormat="1" applyFont="1" applyBorder="1" applyAlignment="1">
      <alignment horizontal="center"/>
    </xf>
    <xf numFmtId="49" fontId="31" fillId="0" borderId="35" xfId="0" applyNumberFormat="1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2" fillId="0" borderId="61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63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52" fillId="0" borderId="34" xfId="0" applyNumberFormat="1" applyFont="1" applyBorder="1" applyAlignment="1">
      <alignment horizontal="center"/>
    </xf>
    <xf numFmtId="49" fontId="52" fillId="0" borderId="3" xfId="0" applyNumberFormat="1" applyFont="1" applyBorder="1" applyAlignment="1">
      <alignment horizontal="center"/>
    </xf>
    <xf numFmtId="49" fontId="5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7" fillId="2" borderId="72" xfId="70" applyFont="1" applyFill="1" applyBorder="1" applyAlignment="1">
      <alignment horizontal="center" vertical="center" wrapText="1"/>
    </xf>
    <xf numFmtId="0" fontId="38" fillId="2" borderId="73" xfId="0" applyFont="1" applyFill="1" applyBorder="1" applyAlignment="1">
      <alignment vertical="center"/>
    </xf>
    <xf numFmtId="0" fontId="38" fillId="2" borderId="74" xfId="0" applyFont="1" applyFill="1" applyBorder="1" applyAlignment="1">
      <alignment vertical="center"/>
    </xf>
  </cellXfs>
  <cellStyles count="71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7" xr:uid="{00000000-0005-0000-0000-000031000000}"/>
    <cellStyle name="60% - Accent2 2" xfId="38" xr:uid="{00000000-0005-0000-0000-000032000000}"/>
    <cellStyle name="60% - Accent3 2" xfId="39" xr:uid="{00000000-0005-0000-0000-000033000000}"/>
    <cellStyle name="60% - Accent4 2" xfId="40" xr:uid="{00000000-0005-0000-0000-000034000000}"/>
    <cellStyle name="60% - Accent5 2" xfId="41" xr:uid="{00000000-0005-0000-0000-000035000000}"/>
    <cellStyle name="60% - Accent6 2" xfId="42" xr:uid="{00000000-0005-0000-0000-000036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Box (Ext)" xfId="65" xr:uid="{00000000-0005-0000-0000-000000000000}"/>
    <cellStyle name="Box (Int)" xfId="66" xr:uid="{00000000-0005-0000-0000-000001000000}"/>
    <cellStyle name="Calculation" xfId="12" builtinId="22" customBuiltin="1"/>
    <cellStyle name="Check Cell" xfId="14" builtinId="23" customBuiltin="1"/>
    <cellStyle name="Comma" xfId="1" builtinId="3"/>
    <cellStyle name="Comma [0] 2" xfId="50" xr:uid="{00000000-0005-0000-0000-000003000000}"/>
    <cellStyle name="Comma 2" xfId="49" xr:uid="{00000000-0005-0000-0000-000002000000}"/>
    <cellStyle name="Currency" xfId="3" builtinId="4"/>
    <cellStyle name="Currency [0] 2" xfId="48" xr:uid="{00000000-0005-0000-0000-000005000000}"/>
    <cellStyle name="Currency 2" xfId="47" xr:uid="{00000000-0005-0000-0000-000004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eadings" xfId="64" xr:uid="{00000000-0005-0000-0000-000006000000}"/>
    <cellStyle name="Hyperlink" xfId="67" xr:uid="{00000000-0005-0000-0000-000007000000}"/>
    <cellStyle name="Input" xfId="10" builtinId="20" customBuiltin="1"/>
    <cellStyle name="Linked Cell" xfId="13" builtinId="24" customBuiltin="1"/>
    <cellStyle name="Neutral 2" xfId="43" xr:uid="{00000000-0005-0000-0000-000037000000}"/>
    <cellStyle name="Norm ($0)" xfId="51" xr:uid="{00000000-0005-0000-0000-000008000000}"/>
    <cellStyle name="Norm ($0.00)" xfId="52" xr:uid="{00000000-0005-0000-0000-000009000000}"/>
    <cellStyle name="Norm (0%)" xfId="53" xr:uid="{00000000-0005-0000-0000-00000A000000}"/>
    <cellStyle name="Norm (0)" xfId="54" xr:uid="{00000000-0005-0000-0000-00000B000000}"/>
    <cellStyle name="Norm (0.0)" xfId="55" xr:uid="{00000000-0005-0000-0000-00000C000000}"/>
    <cellStyle name="Norm (0.00%)" xfId="56" xr:uid="{00000000-0005-0000-0000-00000D000000}"/>
    <cellStyle name="Norm (0.00)" xfId="57" xr:uid="{00000000-0005-0000-0000-00000E000000}"/>
    <cellStyle name="Norm (MMM-YY)" xfId="58" xr:uid="{00000000-0005-0000-0000-00000F000000}"/>
    <cellStyle name="Norm (Month 0)" xfId="68" xr:uid="{00000000-0005-0000-0000-000010000000}"/>
    <cellStyle name="Norm (months)" xfId="59" xr:uid="{00000000-0005-0000-0000-000011000000}"/>
    <cellStyle name="Norm (sf)" xfId="60" xr:uid="{00000000-0005-0000-0000-000012000000}"/>
    <cellStyle name="Norm (Studio)" xfId="61" xr:uid="{00000000-0005-0000-0000-000013000000}"/>
    <cellStyle name="Norm (text)" xfId="62" xr:uid="{00000000-0005-0000-0000-000014000000}"/>
    <cellStyle name="Norm (units)" xfId="63" xr:uid="{00000000-0005-0000-0000-000015000000}"/>
    <cellStyle name="Normal" xfId="0" builtinId="0"/>
    <cellStyle name="Normal 2" xfId="45" xr:uid="{00000000-0005-0000-0000-00004D000000}"/>
    <cellStyle name="Normal 3" xfId="69" xr:uid="{9FEC29A9-BD3F-43D3-9065-3F2C68A4E5E9}"/>
    <cellStyle name="Normal_prelimtemp" xfId="70" xr:uid="{11AC85D2-75CE-4A3C-B27A-81325AD26B42}"/>
    <cellStyle name="Note" xfId="16" builtinId="10" customBuiltin="1"/>
    <cellStyle name="Output" xfId="11" builtinId="21" customBuiltin="1"/>
    <cellStyle name="Percent" xfId="2" builtinId="5"/>
    <cellStyle name="Percent 2" xfId="46" xr:uid="{00000000-0005-0000-0000-000017000000}"/>
    <cellStyle name="Title 2" xfId="44" xr:uid="{00000000-0005-0000-0000-000038000000}"/>
    <cellStyle name="Total" xfId="18" builtinId="25" customBuiltin="1"/>
    <cellStyle name="Warning Text" xfId="15" builtinId="11" customBuiltin="1"/>
  </cellStyles>
  <dxfs count="5">
    <dxf>
      <fill>
        <patternFill>
          <bgColor rgb="FFEAEAEA"/>
        </patternFill>
      </fill>
    </dxf>
    <dxf>
      <fill>
        <patternFill>
          <bgColor theme="0" tint="-4.9958800012207406E-2"/>
        </patternFill>
      </fill>
    </dxf>
    <dxf>
      <border>
        <left/>
        <right/>
        <top style="medium">
          <color theme="0" tint="-0.34995574816125979"/>
        </top>
        <bottom/>
        <vertical/>
        <horizontal/>
      </border>
    </dxf>
    <dxf>
      <font>
        <color theme="4" tint="-0.49995422223578601"/>
      </font>
      <fill>
        <patternFill>
          <bgColor theme="4" tint="-0.49995422223578601"/>
        </patternFill>
      </fill>
    </dxf>
    <dxf>
      <border>
        <left/>
        <right/>
        <top/>
        <bottom/>
        <vertical style="hair">
          <color theme="0" tint="-0.24991607409894101"/>
        </vertical>
        <horizontal/>
      </border>
    </dxf>
  </dxfs>
  <tableStyles count="1" defaultTableStyle="TableStyleMedium2" defaultPivotStyle="PivotStyleLight16">
    <tableStyle name="RentRoll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on/AppData/Local/Microsoft/Windows/INetCache/Content.Outlook/NLM1AO3Z/Myrtles%20Olde%20Towne%20II%20-%202019%20Final%20Budget%20with%20chang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Info"/>
      <sheetName val="ACTUALS"/>
      <sheetName val="T12"/>
      <sheetName val="Instructions - PDF"/>
      <sheetName val="Chart of Accounts"/>
      <sheetName val="Year Over Year Summary"/>
      <sheetName val="Year Over Year Summary (B)"/>
      <sheetName val="Budget Review Sheet"/>
      <sheetName val="Table of Contents"/>
      <sheetName val="I - Projected Summary"/>
      <sheetName val="I - Projected Summary (B)"/>
      <sheetName val="II - Summary"/>
      <sheetName val="II - Summary (B)"/>
      <sheetName val="III - Budget"/>
      <sheetName val="III - Budget (B)"/>
      <sheetName val="IV - Operating Detail"/>
      <sheetName val="V - Rent Income Detail"/>
      <sheetName val="VI - Net Effective Rent"/>
      <sheetName val="VII - Payroll Detail"/>
      <sheetName val="VIII - Marketing Detail"/>
      <sheetName val="IX - G&amp;A Detail"/>
      <sheetName val="X - Capital Detail"/>
      <sheetName val="XI - Rehab"/>
      <sheetName val="RUBS Recovery"/>
      <sheetName val="Turnover"/>
      <sheetName val="3 to 5 Year Capital Plan"/>
      <sheetName val="ACCOUNTDATA"/>
      <sheetName val="PROPDATA"/>
      <sheetName val="UPLOAD - BH"/>
      <sheetName val="UPLOAD - STERLING"/>
    </sheetNames>
    <sheetDataSet>
      <sheetData sheetId="0">
        <row r="32">
          <cell r="I32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8E12-DE25-4727-B903-867340A0EFE0}">
  <dimension ref="A1:S58"/>
  <sheetViews>
    <sheetView tabSelected="1" workbookViewId="0">
      <selection activeCell="D7" sqref="D7"/>
    </sheetView>
  </sheetViews>
  <sheetFormatPr defaultRowHeight="15"/>
  <cols>
    <col min="2" max="2" width="30.7109375" customWidth="1"/>
    <col min="3" max="4" width="17.28515625" customWidth="1"/>
    <col min="6" max="6" width="25.7109375" customWidth="1"/>
    <col min="7" max="8" width="13.28515625" customWidth="1"/>
    <col min="9" max="10" width="15.28515625" bestFit="1" customWidth="1"/>
    <col min="11" max="18" width="13.28515625" customWidth="1"/>
  </cols>
  <sheetData>
    <row r="1" spans="1:19">
      <c r="A1" s="422"/>
      <c r="B1" s="431"/>
      <c r="C1" s="431"/>
      <c r="D1" s="431"/>
      <c r="E1" s="431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</row>
    <row r="2" spans="1:19" ht="15.75" thickBot="1">
      <c r="A2" s="422"/>
      <c r="B2" s="431"/>
      <c r="C2" s="431"/>
      <c r="D2" s="431"/>
      <c r="E2" s="431"/>
      <c r="F2" s="550" t="s">
        <v>230</v>
      </c>
      <c r="G2" s="562">
        <v>210</v>
      </c>
      <c r="H2" s="567" t="s">
        <v>260</v>
      </c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ht="15.75" thickBot="1">
      <c r="A3" s="422"/>
      <c r="B3" s="581" t="s">
        <v>176</v>
      </c>
      <c r="C3" s="582"/>
      <c r="D3" s="583"/>
      <c r="E3" s="431"/>
      <c r="F3" s="550" t="s">
        <v>255</v>
      </c>
      <c r="G3" s="562">
        <v>85</v>
      </c>
      <c r="H3" s="567" t="s">
        <v>260</v>
      </c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</row>
    <row r="4" spans="1:19">
      <c r="A4" s="422"/>
      <c r="B4" s="430" t="s">
        <v>58</v>
      </c>
      <c r="C4" s="432"/>
      <c r="D4" s="442" t="s">
        <v>59</v>
      </c>
      <c r="E4" s="431"/>
      <c r="F4" s="551" t="s">
        <v>254</v>
      </c>
      <c r="G4" s="561">
        <f>'CC -Reno '!M11+'B - Reno '!M10</f>
        <v>1224</v>
      </c>
      <c r="H4" s="422"/>
      <c r="I4" s="483"/>
      <c r="J4" s="481"/>
      <c r="K4" s="483"/>
      <c r="L4" s="483"/>
      <c r="M4" s="422"/>
      <c r="N4" s="422"/>
      <c r="O4" s="422"/>
      <c r="P4" s="422"/>
      <c r="Q4" s="422"/>
      <c r="R4" s="422"/>
      <c r="S4" s="422"/>
    </row>
    <row r="5" spans="1:19">
      <c r="A5" s="422"/>
      <c r="B5" s="430" t="s">
        <v>60</v>
      </c>
      <c r="C5" s="432"/>
      <c r="D5" s="428">
        <f>'CC - Cash Flow Projections'!C8+'B - Cash Flow Projections'!C8</f>
        <v>1611764</v>
      </c>
      <c r="E5" s="431"/>
      <c r="F5" s="484"/>
      <c r="G5" s="482"/>
      <c r="H5" s="422"/>
      <c r="I5" s="483"/>
      <c r="J5" s="481"/>
      <c r="K5" s="483"/>
      <c r="L5" s="422"/>
      <c r="M5" s="422"/>
      <c r="N5" s="422"/>
      <c r="O5" s="422"/>
      <c r="P5" s="422"/>
      <c r="Q5" s="422"/>
      <c r="R5" s="422"/>
      <c r="S5" s="422"/>
    </row>
    <row r="6" spans="1:19" ht="15.75" thickBot="1">
      <c r="A6" s="422"/>
      <c r="B6" s="430" t="s">
        <v>61</v>
      </c>
      <c r="C6" s="432"/>
      <c r="D6" s="443">
        <f>'CC - Cash Flow Projections'!C9+'B - Cash Flow Projections'!C9</f>
        <v>1836</v>
      </c>
      <c r="E6" s="431"/>
      <c r="F6" s="502"/>
      <c r="G6" s="422"/>
      <c r="H6" s="422"/>
      <c r="I6" s="483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ht="16.5" thickBot="1">
      <c r="A7" s="422"/>
      <c r="B7" s="430" t="s">
        <v>123</v>
      </c>
      <c r="C7" s="433"/>
      <c r="D7" s="444">
        <f>D5/D6</f>
        <v>877.86710239651416</v>
      </c>
      <c r="E7" s="431"/>
      <c r="F7" s="436"/>
      <c r="G7" s="432"/>
      <c r="H7" s="263" t="s">
        <v>29</v>
      </c>
      <c r="I7" s="264" t="s">
        <v>0</v>
      </c>
      <c r="J7" s="264" t="s">
        <v>1</v>
      </c>
      <c r="K7" s="264" t="s">
        <v>2</v>
      </c>
      <c r="L7" s="264" t="s">
        <v>3</v>
      </c>
      <c r="M7" s="264" t="s">
        <v>4</v>
      </c>
      <c r="N7" s="264" t="s">
        <v>5</v>
      </c>
      <c r="O7" s="264" t="s">
        <v>101</v>
      </c>
      <c r="P7" s="264" t="s">
        <v>102</v>
      </c>
      <c r="Q7" s="265" t="s">
        <v>103</v>
      </c>
      <c r="R7" s="422"/>
      <c r="S7" s="422"/>
    </row>
    <row r="8" spans="1:19" ht="15.75" thickBot="1">
      <c r="A8" s="422"/>
      <c r="B8" s="423" t="s">
        <v>62</v>
      </c>
      <c r="C8" s="424"/>
      <c r="D8" s="425" t="s">
        <v>203</v>
      </c>
      <c r="E8" s="431"/>
      <c r="F8" s="422"/>
      <c r="G8" s="422"/>
      <c r="H8" s="450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:19" ht="15.75" thickBot="1">
      <c r="A9" s="422"/>
      <c r="B9" s="434"/>
      <c r="C9" s="434"/>
      <c r="D9" s="434"/>
      <c r="E9" s="431"/>
      <c r="F9" s="456" t="s">
        <v>8</v>
      </c>
      <c r="G9" s="488">
        <f>H9/D6</f>
        <v>9181.6333333333314</v>
      </c>
      <c r="H9" s="451">
        <f>'CC - Cash Flow Projections'!G20+'B - Cash Flow Projections'!G20</f>
        <v>16857478.799999997</v>
      </c>
      <c r="I9" s="451">
        <f>'CC - Cash Flow Projections'!H20+'B - Cash Flow Projections'!H20</f>
        <v>20265253.037999999</v>
      </c>
      <c r="J9" s="451">
        <f>'CC - Cash Flow Projections'!I20+'B - Cash Flow Projections'!I20</f>
        <v>22045500.606600001</v>
      </c>
      <c r="K9" s="451">
        <f>'CC - Cash Flow Projections'!J20+'B - Cash Flow Projections'!J20</f>
        <v>22604627.873281494</v>
      </c>
      <c r="L9" s="451">
        <f>'CC - Cash Flow Projections'!K20+'B - Cash Flow Projections'!K20</f>
        <v>23179131.139796741</v>
      </c>
      <c r="M9" s="451">
        <f>'CC - Cash Flow Projections'!L20+'B - Cash Flow Projections'!L20</f>
        <v>23769433.246141151</v>
      </c>
      <c r="N9" s="451">
        <f>'CC - Cash Flow Projections'!M20+'B - Cash Flow Projections'!M20</f>
        <v>24375968.660410032</v>
      </c>
      <c r="O9" s="451">
        <f>'CC - Cash Flow Projections'!N20+'B - Cash Flow Projections'!N20</f>
        <v>24999183.798571311</v>
      </c>
      <c r="P9" s="451">
        <f>'CC - Cash Flow Projections'!O20+'B - Cash Flow Projections'!O20</f>
        <v>25639537.353032015</v>
      </c>
      <c r="Q9" s="452">
        <f>'CC - Cash Flow Projections'!P20+'B - Cash Flow Projections'!P20</f>
        <v>26297500.630240403</v>
      </c>
      <c r="R9" s="422"/>
      <c r="S9" s="422"/>
    </row>
    <row r="10" spans="1:19" ht="15.75" thickBot="1">
      <c r="A10" s="422"/>
      <c r="B10" s="581" t="s">
        <v>44</v>
      </c>
      <c r="C10" s="582"/>
      <c r="D10" s="583"/>
      <c r="E10" s="431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</row>
    <row r="11" spans="1:19" ht="15.75" thickBot="1">
      <c r="A11" s="422"/>
      <c r="B11" s="430" t="s">
        <v>25</v>
      </c>
      <c r="C11" s="435"/>
      <c r="D11" s="445">
        <f>'CC - Cash Flow Projections'!C14+'B - Cash Flow Projections'!C14</f>
        <v>165000000</v>
      </c>
      <c r="E11" s="431"/>
      <c r="F11" s="456" t="s">
        <v>21</v>
      </c>
      <c r="G11" s="488">
        <f>H11/D6</f>
        <v>4525.5469237472762</v>
      </c>
      <c r="H11" s="451">
        <f>'CC - Cash Flow Projections'!G38+'B - Cash Flow Projections'!G38</f>
        <v>8308904.1519999998</v>
      </c>
      <c r="I11" s="451">
        <f>'CC - Cash Flow Projections'!H38+'B - Cash Flow Projections'!H38</f>
        <v>8610179.4965199996</v>
      </c>
      <c r="J11" s="451">
        <f>'CC - Cash Flow Projections'!I38+'B - Cash Flow Projections'!I38</f>
        <v>8850153.3042639997</v>
      </c>
      <c r="K11" s="451">
        <f>'CC - Cash Flow Projections'!J38+'B - Cash Flow Projections'!J38</f>
        <v>9045169.5151453223</v>
      </c>
      <c r="L11" s="451">
        <f>'CC - Cash Flow Projections'!K38+'B - Cash Flow Projections'!K38</f>
        <v>9244777.6942601614</v>
      </c>
      <c r="M11" s="451">
        <f>'CC - Cash Flow Projections'!L38+'B - Cash Flow Projections'!L38</f>
        <v>9449086.5430446267</v>
      </c>
      <c r="N11" s="451">
        <f>'CC - Cash Flow Projections'!M38+'B - Cash Flow Projections'!M38</f>
        <v>9658207.3509588968</v>
      </c>
      <c r="O11" s="451">
        <f>'CC - Cash Flow Projections'!N38+'B - Cash Flow Projections'!N38</f>
        <v>9872254.0574852601</v>
      </c>
      <c r="P11" s="451">
        <f>'CC - Cash Flow Projections'!O38+'B - Cash Flow Projections'!O38</f>
        <v>10091343.315621041</v>
      </c>
      <c r="Q11" s="452">
        <f>'CC - Cash Flow Projections'!P38+'B - Cash Flow Projections'!P38</f>
        <v>10315594.55690283</v>
      </c>
      <c r="R11" s="422"/>
      <c r="S11" s="422"/>
    </row>
    <row r="12" spans="1:19" ht="15.75" thickBot="1">
      <c r="A12" s="422"/>
      <c r="B12" s="430" t="s">
        <v>45</v>
      </c>
      <c r="C12" s="436"/>
      <c r="D12" s="446">
        <f>D11/D6</f>
        <v>89869.281045751632</v>
      </c>
      <c r="E12" s="431"/>
      <c r="F12" s="422"/>
      <c r="G12" s="422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22"/>
      <c r="S12" s="422"/>
    </row>
    <row r="13" spans="1:19" ht="15.75" thickBot="1">
      <c r="A13" s="422"/>
      <c r="B13" s="430" t="s">
        <v>46</v>
      </c>
      <c r="C13" s="432"/>
      <c r="D13" s="446">
        <f>H13</f>
        <v>8548574.6479999982</v>
      </c>
      <c r="E13" s="431"/>
      <c r="F13" s="456" t="s">
        <v>22</v>
      </c>
      <c r="G13" s="488">
        <f>H13/D6</f>
        <v>4656.0864095860561</v>
      </c>
      <c r="H13" s="451">
        <f>'CC - Cash Flow Projections'!G40+'B - Cash Flow Projections'!G40</f>
        <v>8548574.6479999982</v>
      </c>
      <c r="I13" s="451">
        <f>'CC - Cash Flow Projections'!H40+'B - Cash Flow Projections'!H40</f>
        <v>11655073.541479999</v>
      </c>
      <c r="J13" s="451">
        <f>'CC - Cash Flow Projections'!I40+'B - Cash Flow Projections'!I40</f>
        <v>13195347.302336</v>
      </c>
      <c r="K13" s="451">
        <f>'CC - Cash Flow Projections'!J40+'B - Cash Flow Projections'!J40</f>
        <v>13559458.358136175</v>
      </c>
      <c r="L13" s="451">
        <f>'CC - Cash Flow Projections'!K40+'B - Cash Flow Projections'!K40</f>
        <v>13934353.44553658</v>
      </c>
      <c r="M13" s="451">
        <f>'CC - Cash Flow Projections'!L40+'B - Cash Flow Projections'!L40</f>
        <v>14320346.703096524</v>
      </c>
      <c r="N13" s="451">
        <f>'CC - Cash Flow Projections'!M40+'B - Cash Flow Projections'!M40</f>
        <v>14717761.309451135</v>
      </c>
      <c r="O13" s="451">
        <f>'CC - Cash Flow Projections'!N40+'B - Cash Flow Projections'!N40</f>
        <v>15126929.741086049</v>
      </c>
      <c r="P13" s="451">
        <f>'CC - Cash Flow Projections'!O40+'B - Cash Flow Projections'!O40</f>
        <v>15548194.037410978</v>
      </c>
      <c r="Q13" s="452">
        <f>'CC - Cash Flow Projections'!P40+'B - Cash Flow Projections'!P40</f>
        <v>15981906.07333757</v>
      </c>
      <c r="R13" s="422"/>
      <c r="S13" s="422"/>
    </row>
    <row r="14" spans="1:19" ht="15.75" thickBot="1">
      <c r="A14" s="422"/>
      <c r="B14" s="430" t="s">
        <v>47</v>
      </c>
      <c r="C14" s="432"/>
      <c r="D14" s="447">
        <f>D13/D11</f>
        <v>5.1809543321212112E-2</v>
      </c>
      <c r="E14" s="431"/>
      <c r="F14" s="432"/>
      <c r="G14" s="455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22"/>
      <c r="S14" s="422"/>
    </row>
    <row r="15" spans="1:19" ht="15.75" thickBot="1">
      <c r="A15" s="422"/>
      <c r="B15" s="430" t="s">
        <v>131</v>
      </c>
      <c r="C15" s="438"/>
      <c r="D15" s="428">
        <f>'CC - Cash Flow Projections'!C18+'B - Cash Flow Projections'!C18</f>
        <v>2475000</v>
      </c>
      <c r="E15" s="431"/>
      <c r="F15" s="266" t="s">
        <v>177</v>
      </c>
      <c r="G15" s="267"/>
      <c r="H15" s="268">
        <f t="shared" ref="H15:Q15" si="0">H13/$D11</f>
        <v>5.1809543321212112E-2</v>
      </c>
      <c r="I15" s="268">
        <f t="shared" si="0"/>
        <v>7.0636809342303028E-2</v>
      </c>
      <c r="J15" s="268">
        <f t="shared" si="0"/>
        <v>7.9971801832339387E-2</v>
      </c>
      <c r="K15" s="268">
        <f t="shared" si="0"/>
        <v>8.2178535503855607E-2</v>
      </c>
      <c r="L15" s="268">
        <f t="shared" si="0"/>
        <v>8.4450626942645934E-2</v>
      </c>
      <c r="M15" s="268">
        <f t="shared" si="0"/>
        <v>8.678998001876681E-2</v>
      </c>
      <c r="N15" s="268">
        <f t="shared" si="0"/>
        <v>8.9198553390612945E-2</v>
      </c>
      <c r="O15" s="268">
        <f t="shared" si="0"/>
        <v>9.1678362067188171E-2</v>
      </c>
      <c r="P15" s="268">
        <f t="shared" si="0"/>
        <v>9.4231479014611985E-2</v>
      </c>
      <c r="Q15" s="269">
        <f t="shared" si="0"/>
        <v>9.6860036808106481E-2</v>
      </c>
      <c r="R15" s="422"/>
      <c r="S15" s="422"/>
    </row>
    <row r="16" spans="1:19" ht="15.75" thickBot="1">
      <c r="A16" s="422"/>
      <c r="B16" s="430" t="s">
        <v>133</v>
      </c>
      <c r="C16" s="438"/>
      <c r="D16" s="428">
        <f>'CC - Cash Flow Projections'!C19+'B - Cash Flow Projections'!C19</f>
        <v>1650000</v>
      </c>
      <c r="E16" s="431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</row>
    <row r="17" spans="1:19" ht="15.75" thickBot="1">
      <c r="A17" s="422"/>
      <c r="B17" s="430" t="s">
        <v>172</v>
      </c>
      <c r="C17" s="439"/>
      <c r="D17" s="428">
        <f>'CC - Cash Flow Projections'!C20+'B - Cash Flow Projections'!C20</f>
        <v>0</v>
      </c>
      <c r="E17" s="431"/>
      <c r="F17" s="456" t="s">
        <v>30</v>
      </c>
      <c r="G17" s="457"/>
      <c r="H17" s="451">
        <f>'CC - Cash Flow Projections'!G42+'B - Cash Flow Projections'!G42</f>
        <v>4290000</v>
      </c>
      <c r="I17" s="451">
        <f>'CC - Cash Flow Projections'!H42+'B - Cash Flow Projections'!H42</f>
        <v>4290000</v>
      </c>
      <c r="J17" s="451">
        <f>'CC - Cash Flow Projections'!I42+'B - Cash Flow Projections'!I42</f>
        <v>7186195.8235053336</v>
      </c>
      <c r="K17" s="451">
        <f>'CC - Cash Flow Projections'!J42+'B - Cash Flow Projections'!J42</f>
        <v>7186195.8235053336</v>
      </c>
      <c r="L17" s="451">
        <f>'CC - Cash Flow Projections'!K42+'B - Cash Flow Projections'!K42</f>
        <v>7186195.8235053336</v>
      </c>
      <c r="M17" s="451">
        <f>'CC - Cash Flow Projections'!L42+'B - Cash Flow Projections'!L42</f>
        <v>9981674.5148923863</v>
      </c>
      <c r="N17" s="451">
        <f>'CC - Cash Flow Projections'!M42+'B - Cash Flow Projections'!M42</f>
        <v>9981674.5148923863</v>
      </c>
      <c r="O17" s="451">
        <f>'CC - Cash Flow Projections'!N42+'B - Cash Flow Projections'!N42</f>
        <v>9981674.5148923863</v>
      </c>
      <c r="P17" s="451">
        <f>'CC - Cash Flow Projections'!O42+'B - Cash Flow Projections'!O42</f>
        <v>9981674.5148923863</v>
      </c>
      <c r="Q17" s="452">
        <f>'CC - Cash Flow Projections'!P42+'B - Cash Flow Projections'!P42</f>
        <v>9981674.5148923863</v>
      </c>
      <c r="R17" s="422"/>
      <c r="S17" s="422"/>
    </row>
    <row r="18" spans="1:19" ht="15.75" thickBot="1">
      <c r="A18" s="422"/>
      <c r="B18" s="430" t="s">
        <v>229</v>
      </c>
      <c r="C18" s="439"/>
      <c r="D18" s="428">
        <f>'CC - Cash Flow Projections'!C27+'B - Cash Flow Projections'!C26</f>
        <v>132000000</v>
      </c>
      <c r="E18" s="431"/>
      <c r="F18" s="432"/>
      <c r="G18" s="45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22"/>
      <c r="S18" s="422"/>
    </row>
    <row r="19" spans="1:19" ht="15.75" thickBot="1">
      <c r="A19" s="422"/>
      <c r="B19" s="430" t="s">
        <v>40</v>
      </c>
      <c r="C19" s="439"/>
      <c r="D19" s="448">
        <f>D18/D11</f>
        <v>0.8</v>
      </c>
      <c r="E19" s="431"/>
      <c r="F19" s="456" t="s">
        <v>173</v>
      </c>
      <c r="G19" s="454"/>
      <c r="H19" s="451">
        <f>'CC - Cash Flow Projections'!G44+'B - Cash Flow Projections'!G43</f>
        <v>4258574.6479999982</v>
      </c>
      <c r="I19" s="451">
        <f>'CC - Cash Flow Projections'!H44+'B - Cash Flow Projections'!H43</f>
        <v>7365073.5414799992</v>
      </c>
      <c r="J19" s="451">
        <f>'CC - Cash Flow Projections'!I44+'B - Cash Flow Projections'!I43</f>
        <v>6009151.4788306663</v>
      </c>
      <c r="K19" s="451">
        <f>'CC - Cash Flow Projections'!J44+'B - Cash Flow Projections'!J43</f>
        <v>6373262.5346308416</v>
      </c>
      <c r="L19" s="451">
        <f>'CC - Cash Flow Projections'!K44+'B - Cash Flow Projections'!K43</f>
        <v>6748157.6220312454</v>
      </c>
      <c r="M19" s="451">
        <f>'CC - Cash Flow Projections'!L44+'B - Cash Flow Projections'!L43</f>
        <v>4338672.1882041376</v>
      </c>
      <c r="N19" s="451">
        <f>'CC - Cash Flow Projections'!M44+'B - Cash Flow Projections'!M43</f>
        <v>4736086.7945587486</v>
      </c>
      <c r="O19" s="451">
        <f>'CC - Cash Flow Projections'!N44+'B - Cash Flow Projections'!N43</f>
        <v>5145255.2261936627</v>
      </c>
      <c r="P19" s="451">
        <f>'CC - Cash Flow Projections'!O44+'B - Cash Flow Projections'!O43</f>
        <v>5566519.522518591</v>
      </c>
      <c r="Q19" s="452">
        <f>'CC - Cash Flow Projections'!P44+'B - Cash Flow Projections'!P43</f>
        <v>6000231.5584451845</v>
      </c>
      <c r="R19" s="422"/>
      <c r="S19" s="422"/>
    </row>
    <row r="20" spans="1:19" ht="15.75" thickBot="1">
      <c r="A20" s="422"/>
      <c r="B20" s="423" t="s">
        <v>28</v>
      </c>
      <c r="C20" s="424"/>
      <c r="D20" s="449">
        <f>D11+D15+D16+D17-D18</f>
        <v>37125000</v>
      </c>
      <c r="E20" s="431"/>
      <c r="F20" s="432"/>
      <c r="G20" s="455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22"/>
      <c r="S20" s="422"/>
    </row>
    <row r="21" spans="1:19" ht="15.75" thickBot="1">
      <c r="A21" s="422"/>
      <c r="B21" s="430" t="s">
        <v>244</v>
      </c>
      <c r="C21" s="432"/>
      <c r="D21" s="428">
        <f>'CC - Cash Flow Projections'!C37+'B - Cash Flow Projections'!C36</f>
        <v>169086960.55306667</v>
      </c>
      <c r="E21" s="431"/>
      <c r="F21" s="490" t="s">
        <v>24</v>
      </c>
      <c r="G21" s="491"/>
      <c r="H21" s="418">
        <f t="shared" ref="H21:Q21" si="1">H19/$D20</f>
        <v>0.11470908142760938</v>
      </c>
      <c r="I21" s="418">
        <f t="shared" si="1"/>
        <v>0.19838581929912455</v>
      </c>
      <c r="J21" s="418">
        <f t="shared" si="1"/>
        <v>0.16186266609644892</v>
      </c>
      <c r="K21" s="418">
        <f t="shared" si="1"/>
        <v>0.17167037130318766</v>
      </c>
      <c r="L21" s="418">
        <f t="shared" si="1"/>
        <v>0.18176855547558909</v>
      </c>
      <c r="M21" s="418">
        <f t="shared" si="1"/>
        <v>0.11686659092805758</v>
      </c>
      <c r="N21" s="418">
        <f t="shared" si="1"/>
        <v>0.12757136146959591</v>
      </c>
      <c r="O21" s="418">
        <f t="shared" si="1"/>
        <v>0.13859273336548586</v>
      </c>
      <c r="P21" s="418">
        <f t="shared" si="1"/>
        <v>0.14993991979848056</v>
      </c>
      <c r="Q21" s="419">
        <f t="shared" si="1"/>
        <v>0.16162239888067836</v>
      </c>
      <c r="R21" s="422"/>
      <c r="S21" s="422"/>
    </row>
    <row r="22" spans="1:19" ht="15.75" thickBot="1">
      <c r="A22" s="422"/>
      <c r="B22" s="430" t="s">
        <v>248</v>
      </c>
      <c r="C22" s="432"/>
      <c r="D22" s="428">
        <v>0</v>
      </c>
      <c r="E22" s="431"/>
      <c r="F22" s="460"/>
      <c r="G22" s="461"/>
      <c r="H22" s="462"/>
      <c r="I22" s="462"/>
      <c r="J22" s="462"/>
      <c r="K22" s="462"/>
      <c r="L22" s="462"/>
      <c r="M22" s="463"/>
      <c r="N22" s="463"/>
      <c r="O22" s="464"/>
      <c r="P22" s="426"/>
      <c r="Q22" s="426"/>
      <c r="R22" s="422"/>
      <c r="S22" s="422"/>
    </row>
    <row r="23" spans="1:19" ht="15.75" thickBot="1">
      <c r="A23" s="422"/>
      <c r="B23" s="423" t="s">
        <v>245</v>
      </c>
      <c r="C23" s="424"/>
      <c r="D23" s="529">
        <f>D33-D21+D22</f>
        <v>38039.446933329105</v>
      </c>
      <c r="E23" s="431"/>
      <c r="F23" s="465" t="s">
        <v>130</v>
      </c>
      <c r="G23" s="466"/>
      <c r="H23" s="467">
        <f>'CC - Cash Flow Projections'!G48+'B - Cash Flow Projections'!G47</f>
        <v>132000000</v>
      </c>
      <c r="I23" s="467">
        <f>'CC - Cash Flow Projections'!H48+'B - Cash Flow Projections'!H47</f>
        <v>132000000</v>
      </c>
      <c r="J23" s="467">
        <f>'CC - Cash Flow Projections'!I48+'B - Cash Flow Projections'!I47</f>
        <v>169086960.55306667</v>
      </c>
      <c r="K23" s="467">
        <f>'CC - Cash Flow Projections'!J48+'B - Cash Flow Projections'!J47</f>
        <v>169086960.55306667</v>
      </c>
      <c r="L23" s="467">
        <f>'CC - Cash Flow Projections'!K48+'B - Cash Flow Projections'!K47</f>
        <v>169086960.55306667</v>
      </c>
      <c r="M23" s="467">
        <f>'CC - Cash Flow Projections'!L48+'B - Cash Flow Projections'!L47</f>
        <v>166236380.2594924</v>
      </c>
      <c r="N23" s="467">
        <f>'CC - Cash Flow Projections'!M48+'B - Cash Flow Projections'!M47</f>
        <v>163262262.32583743</v>
      </c>
      <c r="O23" s="467">
        <f>'CC - Cash Flow Projections'!N48+'B - Cash Flow Projections'!N47</f>
        <v>160159252.91290236</v>
      </c>
      <c r="P23" s="467">
        <f>'CC - Cash Flow Projections'!O48+'B - Cash Flow Projections'!O47</f>
        <v>156921766.15832347</v>
      </c>
      <c r="Q23" s="468">
        <f>'CC - Cash Flow Projections'!P48+'B - Cash Flow Projections'!P47</f>
        <v>153543974.12121844</v>
      </c>
      <c r="R23" s="422"/>
      <c r="S23" s="422"/>
    </row>
    <row r="24" spans="1:19" ht="15.75" thickBot="1">
      <c r="A24" s="422"/>
      <c r="B24" s="434"/>
      <c r="C24" s="434"/>
      <c r="D24" s="434"/>
      <c r="E24" s="431"/>
      <c r="F24" s="469"/>
      <c r="G24" s="470"/>
      <c r="H24" s="471"/>
      <c r="I24" s="471"/>
      <c r="J24" s="471"/>
      <c r="K24" s="472"/>
      <c r="L24" s="472"/>
      <c r="M24" s="472"/>
      <c r="N24" s="472"/>
      <c r="O24" s="464"/>
      <c r="P24" s="426"/>
      <c r="Q24" s="426"/>
      <c r="R24" s="422"/>
      <c r="S24" s="422"/>
    </row>
    <row r="25" spans="1:19" ht="15.75" thickBot="1">
      <c r="A25" s="422"/>
      <c r="B25" s="581" t="s">
        <v>51</v>
      </c>
      <c r="C25" s="582"/>
      <c r="D25" s="583"/>
      <c r="E25" s="431"/>
      <c r="F25" s="473" t="s">
        <v>188</v>
      </c>
      <c r="G25" s="474">
        <f>-D20</f>
        <v>-37125000</v>
      </c>
      <c r="H25" s="475">
        <f>H19</f>
        <v>4258574.6479999982</v>
      </c>
      <c r="I25" s="535">
        <f>I19+D20-D23</f>
        <v>44452034.094546668</v>
      </c>
      <c r="J25" s="475">
        <f t="shared" ref="J25:P25" si="2">J19</f>
        <v>6009151.4788306663</v>
      </c>
      <c r="K25" s="475">
        <f t="shared" si="2"/>
        <v>6373262.5346308416</v>
      </c>
      <c r="L25" s="475">
        <f t="shared" si="2"/>
        <v>6748157.6220312454</v>
      </c>
      <c r="M25" s="475">
        <f t="shared" si="2"/>
        <v>4338672.1882041376</v>
      </c>
      <c r="N25" s="475">
        <f t="shared" si="2"/>
        <v>4736086.7945587486</v>
      </c>
      <c r="O25" s="475">
        <f t="shared" si="2"/>
        <v>5145255.2261936627</v>
      </c>
      <c r="P25" s="475">
        <f t="shared" si="2"/>
        <v>5566519.522518591</v>
      </c>
      <c r="Q25" s="476">
        <f>Q19+C44</f>
        <v>113639135.66624054</v>
      </c>
      <c r="R25" s="489">
        <f>IRR(G25:Q25)</f>
        <v>0.39160442214585944</v>
      </c>
      <c r="S25" s="422"/>
    </row>
    <row r="26" spans="1:19" ht="15.75" thickBot="1">
      <c r="A26" s="422"/>
      <c r="B26" s="584" t="s">
        <v>52</v>
      </c>
      <c r="C26" s="585"/>
      <c r="D26" s="586"/>
      <c r="E26" s="431"/>
      <c r="F26" s="477" t="s">
        <v>179</v>
      </c>
      <c r="G26" s="478">
        <f>G25</f>
        <v>-37125000</v>
      </c>
      <c r="H26" s="479">
        <f>H19</f>
        <v>4258574.6479999982</v>
      </c>
      <c r="I26" s="536">
        <f>I19+D20-D23</f>
        <v>44452034.094546668</v>
      </c>
      <c r="J26" s="479">
        <f t="shared" ref="J26:P26" si="3">J19</f>
        <v>6009151.4788306663</v>
      </c>
      <c r="K26" s="479">
        <f t="shared" si="3"/>
        <v>6373262.5346308416</v>
      </c>
      <c r="L26" s="479">
        <f t="shared" si="3"/>
        <v>6748157.6220312454</v>
      </c>
      <c r="M26" s="479">
        <f t="shared" si="3"/>
        <v>4338672.1882041376</v>
      </c>
      <c r="N26" s="479">
        <f t="shared" si="3"/>
        <v>4736086.7945587486</v>
      </c>
      <c r="O26" s="479">
        <f t="shared" si="3"/>
        <v>5145255.2261936627</v>
      </c>
      <c r="P26" s="479">
        <f t="shared" si="3"/>
        <v>5566519.522518591</v>
      </c>
      <c r="Q26" s="480">
        <f>Q19+D44</f>
        <v>76327295.919238538</v>
      </c>
      <c r="R26" s="489">
        <f>IRR(G26:Q26)</f>
        <v>0.37479324266130831</v>
      </c>
      <c r="S26" s="422"/>
    </row>
    <row r="27" spans="1:19" ht="15.75" thickBot="1">
      <c r="A27" s="422"/>
      <c r="B27" s="427" t="s">
        <v>53</v>
      </c>
      <c r="C27" s="435">
        <f>D27/D29</f>
        <v>0.78048780487804881</v>
      </c>
      <c r="D27" s="446">
        <f>D18</f>
        <v>132000000</v>
      </c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</row>
    <row r="28" spans="1:19" ht="15.75" thickBot="1">
      <c r="A28" s="422"/>
      <c r="B28" s="427" t="s">
        <v>27</v>
      </c>
      <c r="C28" s="435">
        <f>D28/D29</f>
        <v>0.21951219512195122</v>
      </c>
      <c r="D28" s="428">
        <f>D20</f>
        <v>37125000</v>
      </c>
      <c r="E28" s="422"/>
      <c r="F28" s="473" t="s">
        <v>188</v>
      </c>
      <c r="G28" s="474">
        <f>G26</f>
        <v>-37125000</v>
      </c>
      <c r="H28" s="475">
        <f>H26</f>
        <v>4258574.6479999982</v>
      </c>
      <c r="I28" s="535">
        <f t="shared" ref="I28:K29" si="4">I25</f>
        <v>44452034.094546668</v>
      </c>
      <c r="J28" s="475">
        <f t="shared" si="4"/>
        <v>6009151.4788306663</v>
      </c>
      <c r="K28" s="475">
        <f t="shared" si="4"/>
        <v>6373262.5346308416</v>
      </c>
      <c r="L28" s="475">
        <f>L19+C56</f>
        <v>65382128.631515354</v>
      </c>
      <c r="M28" s="489">
        <f>IRR(G28:L28)</f>
        <v>0.45772136788916251</v>
      </c>
      <c r="N28" s="422"/>
      <c r="O28" s="422"/>
      <c r="P28" s="422"/>
      <c r="Q28" s="422"/>
      <c r="R28" s="422"/>
    </row>
    <row r="29" spans="1:19" ht="15.75" thickBot="1">
      <c r="A29" s="422"/>
      <c r="B29" s="423" t="s">
        <v>54</v>
      </c>
      <c r="C29" s="485">
        <v>1</v>
      </c>
      <c r="D29" s="569">
        <f>D28+D27</f>
        <v>169125000</v>
      </c>
      <c r="E29" s="422"/>
      <c r="F29" s="477" t="s">
        <v>179</v>
      </c>
      <c r="G29" s="478">
        <f>G28</f>
        <v>-37125000</v>
      </c>
      <c r="H29" s="479">
        <f>H26</f>
        <v>4258574.6479999982</v>
      </c>
      <c r="I29" s="536">
        <f t="shared" si="4"/>
        <v>44452034.094546668</v>
      </c>
      <c r="J29" s="479">
        <f t="shared" si="4"/>
        <v>6009151.4788306663</v>
      </c>
      <c r="K29" s="479">
        <f t="shared" si="4"/>
        <v>6373262.5346308416</v>
      </c>
      <c r="L29" s="479">
        <f>L19+D56</f>
        <v>32850566.979722384</v>
      </c>
      <c r="M29" s="489">
        <f>IRR(G29:L29)</f>
        <v>0.37871772467517717</v>
      </c>
      <c r="N29" s="422"/>
      <c r="O29" s="422"/>
      <c r="P29" s="422"/>
      <c r="Q29" s="422"/>
      <c r="R29" s="422"/>
    </row>
    <row r="30" spans="1:19">
      <c r="A30" s="422"/>
      <c r="B30" s="584" t="s">
        <v>55</v>
      </c>
      <c r="C30" s="585"/>
      <c r="D30" s="586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</row>
    <row r="31" spans="1:19">
      <c r="A31" s="422"/>
      <c r="B31" s="427" t="s">
        <v>25</v>
      </c>
      <c r="C31" s="435">
        <f>D31/D29</f>
        <v>0.97560975609756095</v>
      </c>
      <c r="D31" s="428">
        <f>D11</f>
        <v>165000000</v>
      </c>
      <c r="E31" s="422"/>
    </row>
    <row r="32" spans="1:19">
      <c r="A32" s="422"/>
      <c r="B32" s="427" t="s">
        <v>105</v>
      </c>
      <c r="C32" s="438">
        <f>D32/D29</f>
        <v>2.4390243902439025E-2</v>
      </c>
      <c r="D32" s="428">
        <f>D15+D16</f>
        <v>4125000</v>
      </c>
      <c r="E32" s="422"/>
    </row>
    <row r="33" spans="1:5" ht="15.75" thickBot="1">
      <c r="A33" s="422"/>
      <c r="B33" s="423" t="s">
        <v>56</v>
      </c>
      <c r="C33" s="485">
        <f>SUM(C31:C32)</f>
        <v>1</v>
      </c>
      <c r="D33" s="570">
        <f>SUM(D31:D32)</f>
        <v>169125000</v>
      </c>
      <c r="E33" s="422"/>
    </row>
    <row r="34" spans="1:5" ht="15.75" thickBot="1">
      <c r="A34" s="422"/>
      <c r="B34" s="440"/>
      <c r="C34" s="440"/>
      <c r="D34" s="568"/>
      <c r="E34" s="431"/>
    </row>
    <row r="35" spans="1:5" ht="15.75" thickBot="1">
      <c r="A35" s="422"/>
      <c r="B35" s="581" t="s">
        <v>170</v>
      </c>
      <c r="C35" s="582"/>
      <c r="D35" s="583"/>
      <c r="E35" s="422"/>
    </row>
    <row r="36" spans="1:5">
      <c r="A36" s="422"/>
      <c r="B36" s="429" t="s">
        <v>32</v>
      </c>
      <c r="C36" s="459"/>
      <c r="D36" s="571">
        <v>10</v>
      </c>
      <c r="E36" s="422"/>
    </row>
    <row r="37" spans="1:5">
      <c r="A37" s="422"/>
      <c r="B37" s="430" t="s">
        <v>33</v>
      </c>
      <c r="C37" s="432"/>
      <c r="D37" s="572">
        <v>0.02</v>
      </c>
      <c r="E37" s="422"/>
    </row>
    <row r="38" spans="1:5" ht="15.75" thickBot="1">
      <c r="A38" s="422"/>
      <c r="B38" s="423" t="s">
        <v>34</v>
      </c>
      <c r="C38" s="424"/>
      <c r="D38" s="573">
        <f>Q23</f>
        <v>153543974.12121844</v>
      </c>
      <c r="E38" s="422"/>
    </row>
    <row r="39" spans="1:5" ht="15.75" thickBot="1">
      <c r="A39" s="422"/>
      <c r="B39" s="456" t="s">
        <v>35</v>
      </c>
      <c r="C39" s="487">
        <v>0.06</v>
      </c>
      <c r="D39" s="574">
        <v>7.0000000000000007E-2</v>
      </c>
      <c r="E39" s="422"/>
    </row>
    <row r="40" spans="1:5">
      <c r="A40" s="422"/>
      <c r="B40" s="429" t="s">
        <v>36</v>
      </c>
      <c r="C40" s="486">
        <f>Q13/C39</f>
        <v>266365101.22229284</v>
      </c>
      <c r="D40" s="575">
        <f>Q13/D39</f>
        <v>228312943.90482241</v>
      </c>
      <c r="E40" s="422"/>
    </row>
    <row r="41" spans="1:5">
      <c r="A41" s="422"/>
      <c r="B41" s="430" t="s">
        <v>202</v>
      </c>
      <c r="C41" s="437">
        <f>C40/D6</f>
        <v>145079.03116682617</v>
      </c>
      <c r="D41" s="576">
        <f>D40/D6</f>
        <v>124353.45528585099</v>
      </c>
      <c r="E41" s="422"/>
    </row>
    <row r="42" spans="1:5">
      <c r="A42" s="422"/>
      <c r="B42" s="430" t="s">
        <v>37</v>
      </c>
      <c r="C42" s="441">
        <f>-C40*D37</f>
        <v>-5327302.0244458569</v>
      </c>
      <c r="D42" s="577">
        <f>-D40*D37</f>
        <v>-4566258.8780964483</v>
      </c>
      <c r="E42" s="422"/>
    </row>
    <row r="43" spans="1:5">
      <c r="A43" s="422"/>
      <c r="B43" s="430" t="s">
        <v>38</v>
      </c>
      <c r="C43" s="441">
        <f>-D38</f>
        <v>-153543974.12121844</v>
      </c>
      <c r="D43" s="578">
        <f>C43</f>
        <v>-153543974.12121844</v>
      </c>
      <c r="E43" s="422"/>
    </row>
    <row r="44" spans="1:5" ht="15.75" thickBot="1">
      <c r="A44" s="422"/>
      <c r="B44" s="423" t="s">
        <v>39</v>
      </c>
      <c r="C44" s="579">
        <f>SUM(C40:C43)</f>
        <v>107638904.10779536</v>
      </c>
      <c r="D44" s="580">
        <f>SUM(D40:D43)</f>
        <v>70327064.360793352</v>
      </c>
      <c r="E44" s="422"/>
    </row>
    <row r="45" spans="1:5">
      <c r="A45" s="422"/>
      <c r="B45" s="422"/>
      <c r="C45" s="422"/>
      <c r="D45" s="422"/>
      <c r="E45" s="422"/>
    </row>
    <row r="46" spans="1:5" ht="15.75" thickBot="1">
      <c r="A46" s="422"/>
      <c r="B46" s="422"/>
      <c r="C46" s="422"/>
      <c r="D46" s="483"/>
      <c r="E46" s="422"/>
    </row>
    <row r="47" spans="1:5" ht="15.75" thickBot="1">
      <c r="A47" s="422"/>
      <c r="B47" s="581" t="s">
        <v>261</v>
      </c>
      <c r="C47" s="582"/>
      <c r="D47" s="583"/>
      <c r="E47" s="422"/>
    </row>
    <row r="48" spans="1:5">
      <c r="A48" s="422"/>
      <c r="B48" s="429" t="s">
        <v>32</v>
      </c>
      <c r="C48" s="459"/>
      <c r="D48" s="571">
        <v>5</v>
      </c>
      <c r="E48" s="422"/>
    </row>
    <row r="49" spans="1:5">
      <c r="A49" s="422"/>
      <c r="B49" s="430" t="s">
        <v>33</v>
      </c>
      <c r="C49" s="432"/>
      <c r="D49" s="572">
        <v>0.02</v>
      </c>
      <c r="E49" s="422"/>
    </row>
    <row r="50" spans="1:5" ht="15.75" thickBot="1">
      <c r="A50" s="422"/>
      <c r="B50" s="423" t="s">
        <v>34</v>
      </c>
      <c r="C50" s="424"/>
      <c r="D50" s="573">
        <f>L23</f>
        <v>169086960.55306667</v>
      </c>
      <c r="E50" s="422"/>
    </row>
    <row r="51" spans="1:5" ht="15.75" thickBot="1">
      <c r="A51" s="422"/>
      <c r="B51" s="456" t="s">
        <v>35</v>
      </c>
      <c r="C51" s="487">
        <v>0.06</v>
      </c>
      <c r="D51" s="574">
        <v>7.0000000000000007E-2</v>
      </c>
      <c r="E51" s="422"/>
    </row>
    <row r="52" spans="1:5">
      <c r="A52" s="422"/>
      <c r="B52" s="429" t="s">
        <v>36</v>
      </c>
      <c r="C52" s="486">
        <f>L13/C51</f>
        <v>232239224.09227633</v>
      </c>
      <c r="D52" s="575">
        <f>L13/D51</f>
        <v>199062192.07909399</v>
      </c>
      <c r="E52" s="422"/>
    </row>
    <row r="53" spans="1:5">
      <c r="A53" s="422"/>
      <c r="B53" s="430" t="s">
        <v>202</v>
      </c>
      <c r="C53" s="437">
        <f>C52/D6</f>
        <v>126491.95211997622</v>
      </c>
      <c r="D53" s="576">
        <f>D52/D6</f>
        <v>108421.67324569389</v>
      </c>
      <c r="E53" s="422"/>
    </row>
    <row r="54" spans="1:5">
      <c r="A54" s="422"/>
      <c r="B54" s="430" t="s">
        <v>37</v>
      </c>
      <c r="C54" s="441">
        <f>-C52*D49</f>
        <v>-4644784.481845527</v>
      </c>
      <c r="D54" s="577">
        <f>-D52*D49</f>
        <v>-3981243.8415818801</v>
      </c>
      <c r="E54" s="422"/>
    </row>
    <row r="55" spans="1:5">
      <c r="A55" s="422"/>
      <c r="B55" s="430" t="s">
        <v>38</v>
      </c>
      <c r="C55" s="441">
        <f>-D50</f>
        <v>-169086960.55306667</v>
      </c>
      <c r="D55" s="578">
        <f>C55</f>
        <v>-169086960.55306667</v>
      </c>
      <c r="E55" s="422"/>
    </row>
    <row r="56" spans="1:5" ht="15.75" thickBot="1">
      <c r="A56" s="422"/>
      <c r="B56" s="423" t="s">
        <v>39</v>
      </c>
      <c r="C56" s="579">
        <f>SUM(C52:C55)</f>
        <v>58633971.009484112</v>
      </c>
      <c r="D56" s="580">
        <f>SUM(D52:D55)</f>
        <v>26102409.357691139</v>
      </c>
      <c r="E56" s="422"/>
    </row>
    <row r="57" spans="1:5">
      <c r="A57" s="422"/>
      <c r="B57" s="422"/>
      <c r="C57" s="422"/>
      <c r="D57" s="422"/>
      <c r="E57" s="422"/>
    </row>
    <row r="58" spans="1:5">
      <c r="A58" s="422"/>
      <c r="B58" s="422"/>
      <c r="C58" s="422"/>
      <c r="D58" s="422"/>
      <c r="E58" s="422"/>
    </row>
  </sheetData>
  <mergeCells count="7">
    <mergeCell ref="B47:D47"/>
    <mergeCell ref="B35:D35"/>
    <mergeCell ref="B3:D3"/>
    <mergeCell ref="B10:D10"/>
    <mergeCell ref="B25:D25"/>
    <mergeCell ref="B26:D26"/>
    <mergeCell ref="B30:D30"/>
  </mergeCells>
  <pageMargins left="0.7" right="0.7" top="0.75" bottom="0.75" header="0.3" footer="0.3"/>
  <pageSetup orientation="portrait" horizontalDpi="4294967294" verticalDpi="4294967294" r:id="rId1"/>
  <ignoredErrors>
    <ignoredError sqref="I25:I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0F39-B990-44BE-8635-035ADB23F618}">
  <dimension ref="B2:O42"/>
  <sheetViews>
    <sheetView topLeftCell="A22" workbookViewId="0">
      <selection activeCell="J34" sqref="J34"/>
    </sheetView>
  </sheetViews>
  <sheetFormatPr defaultRowHeight="15"/>
  <cols>
    <col min="2" max="2" width="44.28515625" bestFit="1" customWidth="1"/>
    <col min="3" max="3" width="14.7109375" bestFit="1" customWidth="1"/>
    <col min="5" max="6" width="14.7109375" bestFit="1" customWidth="1"/>
    <col min="8" max="8" width="14.7109375" bestFit="1" customWidth="1"/>
    <col min="10" max="10" width="13.28515625" bestFit="1" customWidth="1"/>
    <col min="12" max="12" width="10.5703125" bestFit="1" customWidth="1"/>
    <col min="14" max="14" width="11.5703125" bestFit="1" customWidth="1"/>
    <col min="15" max="15" width="9.5703125" bestFit="1" customWidth="1"/>
  </cols>
  <sheetData>
    <row r="2" spans="2:12" ht="16.5">
      <c r="C2" s="620">
        <v>2019</v>
      </c>
      <c r="D2" s="621"/>
      <c r="E2" s="622"/>
      <c r="F2" s="620">
        <v>2019</v>
      </c>
      <c r="G2" s="621"/>
      <c r="H2" s="622"/>
    </row>
    <row r="3" spans="2:12" ht="33.75" thickBot="1">
      <c r="C3" s="207" t="s">
        <v>137</v>
      </c>
      <c r="D3" s="208" t="s">
        <v>138</v>
      </c>
      <c r="E3" s="209" t="s">
        <v>139</v>
      </c>
      <c r="F3" s="207" t="s">
        <v>137</v>
      </c>
      <c r="G3" s="208" t="s">
        <v>138</v>
      </c>
      <c r="H3" s="209" t="s">
        <v>139</v>
      </c>
      <c r="J3" s="207" t="s">
        <v>137</v>
      </c>
      <c r="K3" s="208" t="s">
        <v>138</v>
      </c>
      <c r="L3" s="209" t="s">
        <v>139</v>
      </c>
    </row>
    <row r="4" spans="2:12" ht="16.5">
      <c r="B4" s="236"/>
      <c r="C4" s="210"/>
      <c r="D4" s="210"/>
      <c r="E4" s="210"/>
      <c r="F4" s="210"/>
      <c r="G4" s="210"/>
      <c r="H4" s="210"/>
    </row>
    <row r="5" spans="2:12" ht="16.5">
      <c r="B5" s="237"/>
      <c r="C5" s="211"/>
      <c r="D5" s="212"/>
      <c r="E5" s="213"/>
      <c r="F5" s="211"/>
      <c r="G5" s="212"/>
      <c r="H5" s="213"/>
    </row>
    <row r="6" spans="2:12" ht="20.25">
      <c r="B6" s="238" t="s">
        <v>140</v>
      </c>
      <c r="C6" s="214"/>
      <c r="D6" s="215"/>
      <c r="E6" s="216"/>
      <c r="F6" s="214"/>
      <c r="G6" s="215"/>
      <c r="H6" s="216"/>
    </row>
    <row r="7" spans="2:12" ht="20.25">
      <c r="B7" s="240" t="s">
        <v>141</v>
      </c>
      <c r="C7" s="217">
        <v>1823672</v>
      </c>
      <c r="D7" s="218">
        <v>15.412788830479538</v>
      </c>
      <c r="E7" s="219">
        <v>12322.108108108108</v>
      </c>
      <c r="F7" s="217">
        <v>3218446.0135771348</v>
      </c>
      <c r="G7" s="218">
        <v>14.516729423548009</v>
      </c>
      <c r="H7" s="219">
        <v>13083.113876329817</v>
      </c>
      <c r="J7" s="235">
        <f t="shared" ref="J7:J42" si="0">F7+C7</f>
        <v>5042118.0135771353</v>
      </c>
      <c r="K7" s="235"/>
      <c r="L7" s="235">
        <f>J7/394</f>
        <v>12797.253841566333</v>
      </c>
    </row>
    <row r="8" spans="2:12" ht="20.25">
      <c r="B8" s="241"/>
      <c r="C8" s="217"/>
      <c r="D8" s="220"/>
      <c r="E8" s="219"/>
      <c r="F8" s="217"/>
      <c r="G8" s="220"/>
      <c r="H8" s="219"/>
      <c r="J8" s="235">
        <f t="shared" si="0"/>
        <v>0</v>
      </c>
      <c r="K8" s="235"/>
      <c r="L8" s="235">
        <f t="shared" ref="L8:L42" si="1">J8/394</f>
        <v>0</v>
      </c>
    </row>
    <row r="9" spans="2:12" ht="20.25">
      <c r="B9" s="238" t="s">
        <v>142</v>
      </c>
      <c r="C9" s="217"/>
      <c r="D9" s="221"/>
      <c r="E9" s="222"/>
      <c r="F9" s="217"/>
      <c r="G9" s="221"/>
      <c r="H9" s="222"/>
      <c r="J9" s="235">
        <f t="shared" si="0"/>
        <v>0</v>
      </c>
      <c r="K9" s="235"/>
      <c r="L9" s="235">
        <f t="shared" si="1"/>
        <v>0</v>
      </c>
    </row>
    <row r="10" spans="2:12" ht="20.25">
      <c r="B10" s="242" t="s">
        <v>143</v>
      </c>
      <c r="C10" s="223">
        <v>-128345.25899999993</v>
      </c>
      <c r="D10" s="224">
        <v>-1.0847117104173352</v>
      </c>
      <c r="E10" s="225">
        <v>-867.1976959459455</v>
      </c>
      <c r="F10" s="223">
        <v>-178885.77000000005</v>
      </c>
      <c r="G10" s="224">
        <v>-0.80686030148033905</v>
      </c>
      <c r="H10" s="225">
        <v>-727.17792682926847</v>
      </c>
      <c r="J10" s="235">
        <f t="shared" si="0"/>
        <v>-307231.02899999998</v>
      </c>
      <c r="K10" s="235"/>
      <c r="L10" s="235">
        <f t="shared" si="1"/>
        <v>-779.7741852791878</v>
      </c>
    </row>
    <row r="11" spans="2:12" ht="20.25">
      <c r="B11" s="242" t="s">
        <v>144</v>
      </c>
      <c r="C11" s="223">
        <v>0</v>
      </c>
      <c r="D11" s="224"/>
      <c r="E11" s="225">
        <v>0</v>
      </c>
      <c r="F11" s="223">
        <v>0</v>
      </c>
      <c r="G11" s="224"/>
      <c r="H11" s="225">
        <v>0</v>
      </c>
      <c r="J11" s="235">
        <f t="shared" si="0"/>
        <v>0</v>
      </c>
      <c r="K11" s="235"/>
      <c r="L11" s="235">
        <f t="shared" si="1"/>
        <v>0</v>
      </c>
    </row>
    <row r="12" spans="2:12" ht="20.25">
      <c r="B12" s="242" t="s">
        <v>145</v>
      </c>
      <c r="C12" s="223">
        <v>-1840.3299999999995</v>
      </c>
      <c r="D12" s="224"/>
      <c r="E12" s="225">
        <v>-12.434662162162159</v>
      </c>
      <c r="F12" s="223">
        <v>-11648.099999999999</v>
      </c>
      <c r="G12" s="224"/>
      <c r="H12" s="225">
        <v>-47.349999999999994</v>
      </c>
      <c r="J12" s="235">
        <f t="shared" si="0"/>
        <v>-13488.429999999998</v>
      </c>
      <c r="K12" s="235"/>
      <c r="L12" s="235">
        <f t="shared" si="1"/>
        <v>-34.234593908629435</v>
      </c>
    </row>
    <row r="13" spans="2:12" ht="20.25">
      <c r="B13" s="242" t="s">
        <v>146</v>
      </c>
      <c r="C13" s="223">
        <v>-10750</v>
      </c>
      <c r="D13" s="224"/>
      <c r="E13" s="225">
        <v>-72.63513513513513</v>
      </c>
      <c r="F13" s="223">
        <v>-52450</v>
      </c>
      <c r="G13" s="224"/>
      <c r="H13" s="225">
        <v>-213.21138211382114</v>
      </c>
      <c r="J13" s="235">
        <f t="shared" si="0"/>
        <v>-63200</v>
      </c>
      <c r="K13" s="235"/>
      <c r="L13" s="235">
        <f t="shared" si="1"/>
        <v>-160.40609137055839</v>
      </c>
    </row>
    <row r="14" spans="2:12" ht="20.25">
      <c r="B14" s="242" t="s">
        <v>147</v>
      </c>
      <c r="C14" s="223">
        <v>0</v>
      </c>
      <c r="D14" s="224"/>
      <c r="E14" s="225">
        <v>0</v>
      </c>
      <c r="F14" s="223">
        <v>0</v>
      </c>
      <c r="G14" s="224"/>
      <c r="H14" s="225">
        <v>0</v>
      </c>
      <c r="J14" s="235">
        <f t="shared" si="0"/>
        <v>0</v>
      </c>
      <c r="K14" s="235"/>
      <c r="L14" s="235">
        <f t="shared" si="1"/>
        <v>0</v>
      </c>
    </row>
    <row r="15" spans="2:12" ht="20.25">
      <c r="B15" s="242" t="s">
        <v>148</v>
      </c>
      <c r="C15" s="223">
        <v>0</v>
      </c>
      <c r="D15" s="224"/>
      <c r="E15" s="225">
        <v>0</v>
      </c>
      <c r="F15" s="223">
        <v>0</v>
      </c>
      <c r="G15" s="224"/>
      <c r="H15" s="225">
        <v>0</v>
      </c>
      <c r="J15" s="235">
        <f t="shared" si="0"/>
        <v>0</v>
      </c>
      <c r="K15" s="235"/>
      <c r="L15" s="235">
        <f t="shared" si="1"/>
        <v>0</v>
      </c>
    </row>
    <row r="16" spans="2:12" ht="20.25">
      <c r="B16" s="242" t="s">
        <v>149</v>
      </c>
      <c r="C16" s="223">
        <v>-14509.376</v>
      </c>
      <c r="D16" s="224"/>
      <c r="E16" s="225">
        <v>-98.036324324324326</v>
      </c>
      <c r="F16" s="223">
        <v>-22574.969618448311</v>
      </c>
      <c r="G16" s="224"/>
      <c r="H16" s="225">
        <v>-91.768169180684197</v>
      </c>
      <c r="J16" s="235">
        <f t="shared" si="0"/>
        <v>-37084.345618448308</v>
      </c>
      <c r="K16" s="235"/>
      <c r="L16" s="235">
        <f t="shared" si="1"/>
        <v>-94.12270461535104</v>
      </c>
    </row>
    <row r="17" spans="2:12" ht="20.25">
      <c r="B17" s="242" t="s">
        <v>150</v>
      </c>
      <c r="C17" s="223">
        <v>-13860</v>
      </c>
      <c r="D17" s="224"/>
      <c r="E17" s="225">
        <v>-93.648648648648646</v>
      </c>
      <c r="F17" s="223">
        <v>-13920</v>
      </c>
      <c r="G17" s="224"/>
      <c r="H17" s="225">
        <v>-56.585365853658537</v>
      </c>
      <c r="J17" s="235">
        <f t="shared" si="0"/>
        <v>-27780</v>
      </c>
      <c r="K17" s="235"/>
      <c r="L17" s="235">
        <f t="shared" si="1"/>
        <v>-70.507614213197968</v>
      </c>
    </row>
    <row r="18" spans="2:12" ht="20.25">
      <c r="B18" s="242" t="s">
        <v>151</v>
      </c>
      <c r="C18" s="223">
        <v>0</v>
      </c>
      <c r="D18" s="224"/>
      <c r="E18" s="225">
        <v>0</v>
      </c>
      <c r="F18" s="223">
        <v>-2400</v>
      </c>
      <c r="G18" s="224"/>
      <c r="H18" s="225">
        <v>-9.7560975609756095</v>
      </c>
      <c r="J18" s="235">
        <f t="shared" si="0"/>
        <v>-2400</v>
      </c>
      <c r="K18" s="235"/>
      <c r="L18" s="235">
        <f t="shared" si="1"/>
        <v>-6.0913705583756341</v>
      </c>
    </row>
    <row r="19" spans="2:12" ht="20.25">
      <c r="B19" s="242" t="s">
        <v>152</v>
      </c>
      <c r="C19" s="223">
        <v>0</v>
      </c>
      <c r="D19" s="224"/>
      <c r="E19" s="225">
        <v>0</v>
      </c>
      <c r="F19" s="223">
        <v>0</v>
      </c>
      <c r="G19" s="224"/>
      <c r="H19" s="225">
        <v>0</v>
      </c>
      <c r="J19" s="235">
        <f t="shared" si="0"/>
        <v>0</v>
      </c>
      <c r="K19" s="235"/>
      <c r="L19" s="235">
        <f t="shared" si="1"/>
        <v>0</v>
      </c>
    </row>
    <row r="20" spans="2:12" ht="20.25">
      <c r="B20" s="243" t="s">
        <v>153</v>
      </c>
      <c r="C20" s="226">
        <v>-169304.96499999991</v>
      </c>
      <c r="D20" s="227"/>
      <c r="E20" s="228">
        <v>-1143.9524662162155</v>
      </c>
      <c r="F20" s="226">
        <v>-281878.83961844834</v>
      </c>
      <c r="G20" s="227"/>
      <c r="H20" s="228">
        <v>-1145.8489415384079</v>
      </c>
      <c r="J20" s="235">
        <f t="shared" si="0"/>
        <v>-451183.80461844825</v>
      </c>
      <c r="K20" s="235"/>
      <c r="L20" s="235">
        <f t="shared" si="1"/>
        <v>-1145.1365599453002</v>
      </c>
    </row>
    <row r="21" spans="2:12" ht="20.25">
      <c r="B21" s="242"/>
      <c r="C21" s="217"/>
      <c r="D21" s="221"/>
      <c r="E21" s="219"/>
      <c r="F21" s="217"/>
      <c r="G21" s="221"/>
      <c r="H21" s="219"/>
      <c r="J21" s="235">
        <f t="shared" si="0"/>
        <v>0</v>
      </c>
      <c r="K21" s="235"/>
      <c r="L21" s="235">
        <f t="shared" si="1"/>
        <v>0</v>
      </c>
    </row>
    <row r="22" spans="2:12" ht="20.25">
      <c r="B22" s="240" t="s">
        <v>154</v>
      </c>
      <c r="C22" s="217">
        <v>1654367.0350000001</v>
      </c>
      <c r="D22" s="218">
        <v>13.981905605043865</v>
      </c>
      <c r="E22" s="219">
        <v>11178.155641891894</v>
      </c>
      <c r="F22" s="217">
        <v>2936567.1739586866</v>
      </c>
      <c r="G22" s="218">
        <v>13.245321163877778</v>
      </c>
      <c r="H22" s="219">
        <v>11937.264934791408</v>
      </c>
      <c r="J22" s="235">
        <f t="shared" si="0"/>
        <v>4590934.2089586873</v>
      </c>
      <c r="K22" s="235"/>
      <c r="L22" s="235">
        <f t="shared" si="1"/>
        <v>11652.117281621033</v>
      </c>
    </row>
    <row r="23" spans="2:12" ht="20.25">
      <c r="B23" s="241"/>
      <c r="C23" s="217"/>
      <c r="D23" s="220"/>
      <c r="E23" s="219"/>
      <c r="F23" s="217"/>
      <c r="G23" s="220"/>
      <c r="H23" s="219"/>
      <c r="J23" s="235">
        <f t="shared" si="0"/>
        <v>0</v>
      </c>
      <c r="K23" s="235"/>
      <c r="L23" s="235">
        <f t="shared" si="1"/>
        <v>0</v>
      </c>
    </row>
    <row r="24" spans="2:12" ht="20.25">
      <c r="B24" s="241" t="s">
        <v>155</v>
      </c>
      <c r="C24" s="217">
        <v>199058.31782</v>
      </c>
      <c r="D24" s="218">
        <v>1.6823440934061291</v>
      </c>
      <c r="E24" s="219">
        <v>1344.9886339189188</v>
      </c>
      <c r="F24" s="217">
        <v>418781.06349999999</v>
      </c>
      <c r="G24" s="218">
        <v>1.8889027067377517</v>
      </c>
      <c r="H24" s="219">
        <v>1702.3620467479675</v>
      </c>
      <c r="J24" s="235">
        <f t="shared" si="0"/>
        <v>617839.38131999993</v>
      </c>
      <c r="K24" s="235"/>
      <c r="L24" s="235">
        <f t="shared" si="1"/>
        <v>1568.1202571573601</v>
      </c>
    </row>
    <row r="25" spans="2:12" ht="20.25">
      <c r="B25" s="239"/>
      <c r="C25" s="223"/>
      <c r="D25" s="229"/>
      <c r="E25" s="230"/>
      <c r="F25" s="223"/>
      <c r="G25" s="229"/>
      <c r="H25" s="230"/>
      <c r="J25" s="235">
        <f t="shared" si="0"/>
        <v>0</v>
      </c>
      <c r="K25" s="235"/>
      <c r="L25" s="235">
        <f t="shared" si="1"/>
        <v>0</v>
      </c>
    </row>
    <row r="26" spans="2:12" ht="20.25">
      <c r="B26" s="244" t="s">
        <v>156</v>
      </c>
      <c r="C26" s="231">
        <v>1847950.4768200004</v>
      </c>
      <c r="D26" s="232">
        <v>15.617978709115807</v>
      </c>
      <c r="E26" s="233">
        <v>12486.151870405409</v>
      </c>
      <c r="F26" s="231">
        <v>3325706.8963789716</v>
      </c>
      <c r="G26" s="232">
        <v>15.00052725852693</v>
      </c>
      <c r="H26" s="233">
        <v>13519.13372511777</v>
      </c>
      <c r="J26" s="235">
        <f t="shared" si="0"/>
        <v>5173657.3731989721</v>
      </c>
      <c r="K26" s="235"/>
      <c r="L26" s="235">
        <f t="shared" si="1"/>
        <v>13131.11008426135</v>
      </c>
    </row>
    <row r="27" spans="2:12" ht="20.25">
      <c r="B27" s="241"/>
      <c r="C27" s="223"/>
      <c r="D27" s="229"/>
      <c r="E27" s="230"/>
      <c r="F27" s="223"/>
      <c r="G27" s="229"/>
      <c r="H27" s="230"/>
      <c r="J27" s="235">
        <f t="shared" si="0"/>
        <v>0</v>
      </c>
      <c r="K27" s="235"/>
      <c r="L27" s="235">
        <f t="shared" si="1"/>
        <v>0</v>
      </c>
    </row>
    <row r="28" spans="2:12" ht="20.25">
      <c r="B28" s="245" t="s">
        <v>157</v>
      </c>
      <c r="C28" s="223"/>
      <c r="D28" s="229"/>
      <c r="E28" s="230"/>
      <c r="F28" s="223"/>
      <c r="G28" s="229"/>
      <c r="H28" s="230"/>
      <c r="J28" s="235">
        <f t="shared" si="0"/>
        <v>0</v>
      </c>
      <c r="K28" s="235"/>
      <c r="L28" s="235">
        <f t="shared" si="1"/>
        <v>0</v>
      </c>
    </row>
    <row r="29" spans="2:12" ht="20.25">
      <c r="B29" s="242" t="s">
        <v>158</v>
      </c>
      <c r="C29" s="223">
        <v>165701</v>
      </c>
      <c r="D29" s="224">
        <v>1.4004242659860382</v>
      </c>
      <c r="E29" s="225">
        <v>1119.6013513513512</v>
      </c>
      <c r="F29" s="223">
        <v>214458</v>
      </c>
      <c r="G29" s="224">
        <v>0.96730805661551789</v>
      </c>
      <c r="H29" s="225">
        <v>871.78048780487802</v>
      </c>
      <c r="J29" s="235">
        <f t="shared" si="0"/>
        <v>380159</v>
      </c>
      <c r="K29" s="235"/>
      <c r="L29" s="235">
        <f t="shared" si="1"/>
        <v>964.87055837563457</v>
      </c>
    </row>
    <row r="30" spans="2:12" ht="20.25">
      <c r="B30" s="242" t="s">
        <v>159</v>
      </c>
      <c r="C30" s="223">
        <v>192356.67786931476</v>
      </c>
      <c r="D30" s="224">
        <v>1.6257050917776472</v>
      </c>
      <c r="E30" s="225">
        <v>1299.7072829007755</v>
      </c>
      <c r="F30" s="223">
        <v>335588.73463553929</v>
      </c>
      <c r="G30" s="224">
        <v>1.5136655509347483</v>
      </c>
      <c r="H30" s="225">
        <v>1364.1818481119483</v>
      </c>
      <c r="J30" s="235">
        <f t="shared" si="0"/>
        <v>527945.41250485403</v>
      </c>
      <c r="K30" s="235"/>
      <c r="L30" s="235">
        <f t="shared" si="1"/>
        <v>1339.9629759006448</v>
      </c>
    </row>
    <row r="31" spans="2:12" ht="20.25">
      <c r="B31" s="242" t="s">
        <v>160</v>
      </c>
      <c r="C31" s="223">
        <v>25403.146000000004</v>
      </c>
      <c r="D31" s="224">
        <v>0.21469503558087258</v>
      </c>
      <c r="E31" s="225">
        <v>171.64287837837841</v>
      </c>
      <c r="F31" s="223">
        <v>42683.53</v>
      </c>
      <c r="G31" s="224">
        <v>0.19252311619893012</v>
      </c>
      <c r="H31" s="225">
        <v>173.51028455284552</v>
      </c>
      <c r="J31" s="235">
        <f t="shared" si="0"/>
        <v>68086.676000000007</v>
      </c>
      <c r="K31" s="235"/>
      <c r="L31" s="235">
        <f t="shared" si="1"/>
        <v>172.80882233502541</v>
      </c>
    </row>
    <row r="32" spans="2:12" ht="20.25">
      <c r="B32" s="242" t="s">
        <v>161</v>
      </c>
      <c r="C32" s="223">
        <v>49556.859999999993</v>
      </c>
      <c r="D32" s="224">
        <v>0.41883047953888536</v>
      </c>
      <c r="E32" s="225">
        <v>334.84364864864858</v>
      </c>
      <c r="F32" s="223">
        <v>81119.679999999978</v>
      </c>
      <c r="G32" s="224">
        <v>0.36588851902970593</v>
      </c>
      <c r="H32" s="225">
        <v>329.75479674796742</v>
      </c>
      <c r="J32" s="235">
        <f t="shared" si="0"/>
        <v>130676.53999999998</v>
      </c>
      <c r="K32" s="235"/>
      <c r="L32" s="235">
        <f t="shared" si="1"/>
        <v>331.66634517766494</v>
      </c>
    </row>
    <row r="33" spans="2:15" ht="20.25">
      <c r="B33" s="244" t="s">
        <v>162</v>
      </c>
      <c r="C33" s="231">
        <v>433017.68386931479</v>
      </c>
      <c r="D33" s="232">
        <v>3.6596548728834435</v>
      </c>
      <c r="E33" s="233">
        <v>2925.7951612791539</v>
      </c>
      <c r="F33" s="231">
        <v>673849.94463553932</v>
      </c>
      <c r="G33" s="232">
        <v>3.0393852427789021</v>
      </c>
      <c r="H33" s="233">
        <v>2739.2274172176394</v>
      </c>
      <c r="J33" s="235">
        <f t="shared" si="0"/>
        <v>1106867.6285048542</v>
      </c>
      <c r="K33" s="235"/>
      <c r="L33" s="235">
        <f t="shared" si="1"/>
        <v>2809.3087017889698</v>
      </c>
    </row>
    <row r="34" spans="2:15" ht="20.25">
      <c r="B34" s="242" t="s">
        <v>163</v>
      </c>
      <c r="C34" s="223">
        <v>243687.74800000002</v>
      </c>
      <c r="D34" s="224">
        <v>2.0595303324825478</v>
      </c>
      <c r="E34" s="225">
        <v>1646.5388378378379</v>
      </c>
      <c r="F34" s="223">
        <v>221051.93599999996</v>
      </c>
      <c r="G34" s="224">
        <v>0.99704985882204344</v>
      </c>
      <c r="H34" s="225">
        <v>898.5851056910567</v>
      </c>
      <c r="J34" s="235">
        <f t="shared" si="0"/>
        <v>464739.68400000001</v>
      </c>
      <c r="K34" s="235"/>
      <c r="L34" s="235">
        <f t="shared" si="1"/>
        <v>1179.5423451776651</v>
      </c>
    </row>
    <row r="35" spans="2:15" ht="20.25">
      <c r="B35" s="242" t="s">
        <v>164</v>
      </c>
      <c r="C35" s="223">
        <v>55438.514304600001</v>
      </c>
      <c r="D35" s="224">
        <v>0.46853936127347406</v>
      </c>
      <c r="E35" s="225">
        <v>374.58455611216215</v>
      </c>
      <c r="F35" s="223">
        <v>99771.206891369147</v>
      </c>
      <c r="G35" s="224">
        <v>0.4500158177558079</v>
      </c>
      <c r="H35" s="225">
        <v>405.57401175353311</v>
      </c>
      <c r="J35" s="235">
        <f t="shared" si="0"/>
        <v>155209.72119596915</v>
      </c>
      <c r="K35" s="198">
        <f>J35/J26</f>
        <v>0.03</v>
      </c>
      <c r="L35" s="235">
        <f t="shared" si="1"/>
        <v>393.93330252784045</v>
      </c>
      <c r="N35" s="172">
        <f>(J26*0.05)-J35</f>
        <v>103473.14746397946</v>
      </c>
      <c r="O35" s="172">
        <f>N35/394</f>
        <v>262.62220168522708</v>
      </c>
    </row>
    <row r="36" spans="2:15" ht="20.25">
      <c r="B36" s="242" t="s">
        <v>165</v>
      </c>
      <c r="C36" s="223">
        <v>70921.509999999995</v>
      </c>
      <c r="D36" s="224">
        <v>0.5993941109852774</v>
      </c>
      <c r="E36" s="225">
        <v>479.19939189189188</v>
      </c>
      <c r="F36" s="223">
        <v>153841.86833333335</v>
      </c>
      <c r="G36" s="224">
        <v>0.6939003379851395</v>
      </c>
      <c r="H36" s="225">
        <v>625.37344850948512</v>
      </c>
      <c r="J36" s="235">
        <f t="shared" si="0"/>
        <v>224763.37833333336</v>
      </c>
      <c r="K36" s="235"/>
      <c r="L36" s="235">
        <f t="shared" si="1"/>
        <v>570.46542724196286</v>
      </c>
      <c r="O36" s="170">
        <f>L36-350</f>
        <v>220.46542724196286</v>
      </c>
    </row>
    <row r="37" spans="2:15" ht="20.25">
      <c r="B37" s="242" t="s">
        <v>166</v>
      </c>
      <c r="C37" s="223">
        <v>177227.66666666666</v>
      </c>
      <c r="D37" s="224">
        <v>1.4978420468439231</v>
      </c>
      <c r="E37" s="225">
        <v>1197.4842342342342</v>
      </c>
      <c r="F37" s="223">
        <v>399455.00000000006</v>
      </c>
      <c r="G37" s="224">
        <v>1.801732925586137</v>
      </c>
      <c r="H37" s="225">
        <v>1623.8008130081303</v>
      </c>
      <c r="J37" s="235">
        <f t="shared" si="0"/>
        <v>576682.66666666674</v>
      </c>
      <c r="K37" s="235"/>
      <c r="L37" s="235">
        <f t="shared" si="1"/>
        <v>1463.6615905245349</v>
      </c>
      <c r="O37" s="172">
        <f>L40+O35+300</f>
        <v>8030.012147626403</v>
      </c>
    </row>
    <row r="38" spans="2:15" ht="20.25">
      <c r="B38" s="242" t="s">
        <v>167</v>
      </c>
      <c r="C38" s="223">
        <v>185593.51999999993</v>
      </c>
      <c r="D38" s="224">
        <v>1.5685461706191572</v>
      </c>
      <c r="E38" s="225">
        <v>1254.0102702702698</v>
      </c>
      <c r="F38" s="223">
        <v>228295.03999999992</v>
      </c>
      <c r="G38" s="224">
        <v>1.0297197189070206</v>
      </c>
      <c r="H38" s="225">
        <v>928.02861788617849</v>
      </c>
      <c r="J38" s="235">
        <f t="shared" si="0"/>
        <v>413888.55999999982</v>
      </c>
      <c r="K38" s="235"/>
      <c r="L38" s="235">
        <f t="shared" si="1"/>
        <v>1050.4785786802026</v>
      </c>
    </row>
    <row r="39" spans="2:15" ht="20.25">
      <c r="B39" s="241"/>
      <c r="C39" s="223"/>
      <c r="D39" s="234"/>
      <c r="E39" s="225"/>
      <c r="F39" s="223"/>
      <c r="G39" s="234"/>
      <c r="H39" s="225"/>
      <c r="J39" s="235">
        <f t="shared" si="0"/>
        <v>0</v>
      </c>
      <c r="K39" s="235"/>
      <c r="L39" s="235">
        <f t="shared" si="1"/>
        <v>0</v>
      </c>
    </row>
    <row r="40" spans="2:15" ht="20.25">
      <c r="B40" s="244" t="s">
        <v>168</v>
      </c>
      <c r="C40" s="231">
        <v>1165886.6428405812</v>
      </c>
      <c r="D40" s="232">
        <v>9.853506895087822</v>
      </c>
      <c r="E40" s="233">
        <v>7877.6124516255486</v>
      </c>
      <c r="F40" s="231">
        <v>1776264.9958602418</v>
      </c>
      <c r="G40" s="232">
        <v>8.0118039018350515</v>
      </c>
      <c r="H40" s="233">
        <v>7220.5894140660239</v>
      </c>
      <c r="J40" s="235">
        <f t="shared" si="0"/>
        <v>2942151.6387008233</v>
      </c>
      <c r="K40" s="235"/>
      <c r="L40" s="235">
        <f t="shared" si="1"/>
        <v>7467.3899459411759</v>
      </c>
    </row>
    <row r="41" spans="2:15" ht="20.25">
      <c r="B41" s="241"/>
      <c r="C41" s="223"/>
      <c r="D41" s="220"/>
      <c r="E41" s="219"/>
      <c r="F41" s="223"/>
      <c r="G41" s="220"/>
      <c r="H41" s="219"/>
      <c r="J41" s="235">
        <f t="shared" si="0"/>
        <v>0</v>
      </c>
      <c r="K41" s="235"/>
      <c r="L41" s="235">
        <f t="shared" si="1"/>
        <v>0</v>
      </c>
    </row>
    <row r="42" spans="2:15" ht="20.25">
      <c r="B42" s="244" t="s">
        <v>169</v>
      </c>
      <c r="C42" s="231">
        <v>682063.8339794192</v>
      </c>
      <c r="D42" s="232">
        <v>5.7644718140279849</v>
      </c>
      <c r="E42" s="233">
        <v>4608.5394187798593</v>
      </c>
      <c r="F42" s="231">
        <v>1549441.9005187298</v>
      </c>
      <c r="G42" s="232">
        <v>6.9887233566918798</v>
      </c>
      <c r="H42" s="233">
        <v>6298.5443110517472</v>
      </c>
      <c r="J42" s="235">
        <f t="shared" si="0"/>
        <v>2231505.7344981488</v>
      </c>
      <c r="K42" s="235"/>
      <c r="L42" s="235">
        <f t="shared" si="1"/>
        <v>5663.7201383201746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66"/>
  <sheetViews>
    <sheetView zoomScale="85" zoomScaleNormal="85" workbookViewId="0">
      <selection activeCell="I4" sqref="I4"/>
    </sheetView>
  </sheetViews>
  <sheetFormatPr defaultRowHeight="15"/>
  <cols>
    <col min="1" max="1" width="32.42578125" bestFit="1" customWidth="1"/>
    <col min="2" max="2" width="22.7109375" customWidth="1"/>
    <col min="3" max="3" width="16.28515625" bestFit="1" customWidth="1"/>
    <col min="4" max="4" width="2.140625" customWidth="1"/>
    <col min="5" max="5" width="25.85546875" bestFit="1" customWidth="1"/>
    <col min="6" max="6" width="20.85546875" style="1" bestFit="1" customWidth="1"/>
    <col min="7" max="7" width="20.85546875" bestFit="1" customWidth="1"/>
    <col min="8" max="13" width="12.28515625" bestFit="1" customWidth="1"/>
    <col min="14" max="14" width="12.28515625" style="2" bestFit="1" customWidth="1"/>
    <col min="15" max="16" width="12.28515625" bestFit="1" customWidth="1"/>
    <col min="17" max="17" width="6" bestFit="1" customWidth="1"/>
    <col min="18" max="18" width="24.28515625" bestFit="1" customWidth="1"/>
    <col min="19" max="19" width="11.5703125" hidden="1" customWidth="1"/>
    <col min="20" max="21" width="11.5703125" bestFit="1" customWidth="1"/>
  </cols>
  <sheetData>
    <row r="1" spans="1:20" ht="15.75" thickBot="1">
      <c r="A1" s="46"/>
      <c r="B1" s="46"/>
      <c r="C1" s="46"/>
      <c r="D1" s="46"/>
      <c r="E1" s="46"/>
      <c r="F1" s="47"/>
      <c r="G1" s="48" t="s">
        <v>124</v>
      </c>
      <c r="H1" s="48" t="s">
        <v>0</v>
      </c>
      <c r="I1" s="48" t="s">
        <v>1</v>
      </c>
      <c r="J1" s="48" t="s">
        <v>2</v>
      </c>
      <c r="K1" s="48" t="s">
        <v>3</v>
      </c>
      <c r="L1" s="48" t="s">
        <v>4</v>
      </c>
      <c r="M1" s="48" t="s">
        <v>5</v>
      </c>
      <c r="N1" s="48" t="s">
        <v>101</v>
      </c>
      <c r="O1" s="48" t="s">
        <v>102</v>
      </c>
      <c r="P1" s="48" t="s">
        <v>103</v>
      </c>
    </row>
    <row r="2" spans="1:20" ht="15.75" thickBot="1">
      <c r="A2" s="600"/>
      <c r="B2" s="601"/>
      <c r="C2" s="602"/>
      <c r="D2" s="46"/>
      <c r="E2" s="46"/>
      <c r="F2" s="50" t="s">
        <v>125</v>
      </c>
      <c r="G2" s="52">
        <v>0</v>
      </c>
      <c r="H2" s="52">
        <v>0.03</v>
      </c>
      <c r="I2" s="52">
        <v>2.75E-2</v>
      </c>
      <c r="J2" s="52">
        <f>I2</f>
        <v>2.75E-2</v>
      </c>
      <c r="K2" s="52">
        <f t="shared" ref="K2:P4" si="0">J2</f>
        <v>2.75E-2</v>
      </c>
      <c r="L2" s="52">
        <f t="shared" si="0"/>
        <v>2.75E-2</v>
      </c>
      <c r="M2" s="52">
        <f t="shared" si="0"/>
        <v>2.75E-2</v>
      </c>
      <c r="N2" s="52">
        <f t="shared" si="0"/>
        <v>2.75E-2</v>
      </c>
      <c r="O2" s="52">
        <f t="shared" si="0"/>
        <v>2.75E-2</v>
      </c>
      <c r="P2" s="52">
        <f t="shared" si="0"/>
        <v>2.75E-2</v>
      </c>
    </row>
    <row r="3" spans="1:20">
      <c r="A3" s="53"/>
      <c r="B3" s="53"/>
      <c r="C3" s="53"/>
      <c r="D3" s="46"/>
      <c r="E3" s="46"/>
      <c r="F3" s="50" t="s">
        <v>129</v>
      </c>
      <c r="G3" s="52">
        <v>0.02</v>
      </c>
      <c r="H3" s="52">
        <v>0.02</v>
      </c>
      <c r="I3" s="52">
        <v>1.4999999999999999E-2</v>
      </c>
      <c r="J3" s="52">
        <f>I3</f>
        <v>1.4999999999999999E-2</v>
      </c>
      <c r="K3" s="52">
        <f t="shared" si="0"/>
        <v>1.4999999999999999E-2</v>
      </c>
      <c r="L3" s="52">
        <f t="shared" si="0"/>
        <v>1.4999999999999999E-2</v>
      </c>
      <c r="M3" s="52">
        <f t="shared" si="0"/>
        <v>1.4999999999999999E-2</v>
      </c>
      <c r="N3" s="52">
        <f t="shared" si="0"/>
        <v>1.4999999999999999E-2</v>
      </c>
      <c r="O3" s="52">
        <f t="shared" si="0"/>
        <v>1.4999999999999999E-2</v>
      </c>
      <c r="P3" s="52">
        <f t="shared" si="0"/>
        <v>1.4999999999999999E-2</v>
      </c>
    </row>
    <row r="4" spans="1:20" ht="15.75" thickBot="1">
      <c r="A4" s="46"/>
      <c r="B4" s="46"/>
      <c r="C4" s="46"/>
      <c r="D4" s="46"/>
      <c r="E4" s="46"/>
      <c r="F4" s="54" t="s">
        <v>6</v>
      </c>
      <c r="G4" s="51">
        <v>0.1</v>
      </c>
      <c r="H4" s="51">
        <v>7.0000000000000007E-2</v>
      </c>
      <c r="I4" s="51">
        <v>0.06</v>
      </c>
      <c r="J4" s="51">
        <f>I4</f>
        <v>0.06</v>
      </c>
      <c r="K4" s="51">
        <f t="shared" si="0"/>
        <v>0.06</v>
      </c>
      <c r="L4" s="51">
        <f t="shared" si="0"/>
        <v>0.06</v>
      </c>
      <c r="M4" s="51">
        <f t="shared" si="0"/>
        <v>0.06</v>
      </c>
      <c r="N4" s="51">
        <f t="shared" si="0"/>
        <v>0.06</v>
      </c>
      <c r="O4" s="51">
        <f t="shared" si="0"/>
        <v>0.06</v>
      </c>
      <c r="P4" s="51">
        <f t="shared" si="0"/>
        <v>0.06</v>
      </c>
    </row>
    <row r="5" spans="1:20" ht="15.75" thickBot="1">
      <c r="A5" s="587" t="s">
        <v>122</v>
      </c>
      <c r="B5" s="588"/>
      <c r="C5" s="589"/>
      <c r="D5" s="46"/>
      <c r="E5" s="46"/>
      <c r="F5" s="54" t="s">
        <v>175</v>
      </c>
      <c r="G5" s="52">
        <v>0.01</v>
      </c>
      <c r="H5" s="52">
        <v>0.01</v>
      </c>
      <c r="I5" s="52">
        <v>0.01</v>
      </c>
      <c r="J5" s="52">
        <v>0.01</v>
      </c>
      <c r="K5" s="52">
        <v>0.01</v>
      </c>
      <c r="L5" s="52">
        <v>0.01</v>
      </c>
      <c r="M5" s="52">
        <v>0.01</v>
      </c>
      <c r="N5" s="52">
        <v>0.01</v>
      </c>
      <c r="O5" s="52">
        <v>0.01</v>
      </c>
      <c r="P5" s="52">
        <v>0.01</v>
      </c>
    </row>
    <row r="6" spans="1:20" ht="15.75" thickBot="1">
      <c r="A6" s="65" t="s">
        <v>57</v>
      </c>
      <c r="B6" s="39"/>
      <c r="C6" s="151"/>
      <c r="D6" s="46"/>
      <c r="E6" s="58"/>
      <c r="F6" s="54" t="s">
        <v>7</v>
      </c>
      <c r="G6" s="55">
        <v>0.02</v>
      </c>
      <c r="H6" s="55">
        <v>1.4999999999999999E-2</v>
      </c>
      <c r="I6" s="55">
        <f>H6</f>
        <v>1.4999999999999999E-2</v>
      </c>
      <c r="J6" s="55">
        <f t="shared" ref="I6:P8" si="1">I6</f>
        <v>1.4999999999999999E-2</v>
      </c>
      <c r="K6" s="55">
        <f t="shared" si="1"/>
        <v>1.4999999999999999E-2</v>
      </c>
      <c r="L6" s="55">
        <f t="shared" si="1"/>
        <v>1.4999999999999999E-2</v>
      </c>
      <c r="M6" s="55">
        <f t="shared" si="1"/>
        <v>1.4999999999999999E-2</v>
      </c>
      <c r="N6" s="55">
        <f t="shared" si="1"/>
        <v>1.4999999999999999E-2</v>
      </c>
      <c r="O6" s="55">
        <f t="shared" si="1"/>
        <v>1.4999999999999999E-2</v>
      </c>
      <c r="P6" s="55">
        <f t="shared" si="1"/>
        <v>1.4999999999999999E-2</v>
      </c>
    </row>
    <row r="7" spans="1:20" ht="15.75" thickBot="1">
      <c r="A7" s="73" t="s">
        <v>58</v>
      </c>
      <c r="B7" s="57"/>
      <c r="C7" s="152" t="s">
        <v>59</v>
      </c>
      <c r="D7" s="46"/>
      <c r="E7" s="58"/>
      <c r="F7" s="54" t="s">
        <v>134</v>
      </c>
      <c r="G7" s="55"/>
      <c r="H7" s="55">
        <v>2.2499999999999999E-2</v>
      </c>
      <c r="I7" s="55">
        <f t="shared" si="1"/>
        <v>2.2499999999999999E-2</v>
      </c>
      <c r="J7" s="55">
        <f t="shared" si="1"/>
        <v>2.2499999999999999E-2</v>
      </c>
      <c r="K7" s="55">
        <f t="shared" si="1"/>
        <v>2.2499999999999999E-2</v>
      </c>
      <c r="L7" s="55">
        <f t="shared" si="1"/>
        <v>2.2499999999999999E-2</v>
      </c>
      <c r="M7" s="55">
        <f t="shared" si="1"/>
        <v>2.2499999999999999E-2</v>
      </c>
      <c r="N7" s="55">
        <f t="shared" si="1"/>
        <v>2.2499999999999999E-2</v>
      </c>
      <c r="O7" s="55">
        <f t="shared" si="1"/>
        <v>2.2499999999999999E-2</v>
      </c>
      <c r="P7" s="55">
        <f t="shared" si="1"/>
        <v>2.2499999999999999E-2</v>
      </c>
    </row>
    <row r="8" spans="1:20" ht="15.75" thickBot="1">
      <c r="A8" s="73" t="s">
        <v>60</v>
      </c>
      <c r="B8" s="57"/>
      <c r="C8" s="83">
        <v>1081604</v>
      </c>
      <c r="D8" s="46"/>
      <c r="E8" s="58"/>
      <c r="F8" s="54" t="s">
        <v>135</v>
      </c>
      <c r="G8" s="246" t="s">
        <v>258</v>
      </c>
      <c r="H8" s="55">
        <v>2.5000000000000001E-2</v>
      </c>
      <c r="I8" s="55">
        <v>2.5000000000000001E-2</v>
      </c>
      <c r="J8" s="55">
        <v>2.5000000000000001E-2</v>
      </c>
      <c r="K8" s="55">
        <f>J8</f>
        <v>2.5000000000000001E-2</v>
      </c>
      <c r="L8" s="169">
        <f t="shared" si="1"/>
        <v>2.5000000000000001E-2</v>
      </c>
      <c r="M8" s="169">
        <f t="shared" si="1"/>
        <v>2.5000000000000001E-2</v>
      </c>
      <c r="N8" s="169">
        <f t="shared" si="1"/>
        <v>2.5000000000000001E-2</v>
      </c>
      <c r="O8" s="169">
        <f t="shared" si="1"/>
        <v>2.5000000000000001E-2</v>
      </c>
      <c r="P8" s="169">
        <f t="shared" si="1"/>
        <v>2.5000000000000001E-2</v>
      </c>
    </row>
    <row r="9" spans="1:20" ht="15.75" thickBot="1">
      <c r="A9" s="73" t="s">
        <v>61</v>
      </c>
      <c r="B9" s="57"/>
      <c r="C9" s="153">
        <v>1253</v>
      </c>
      <c r="D9" s="46"/>
      <c r="E9" s="46"/>
      <c r="F9" s="47"/>
      <c r="G9" s="46"/>
      <c r="H9" s="58"/>
      <c r="I9" s="46"/>
      <c r="J9" s="46"/>
      <c r="K9" s="46"/>
      <c r="L9" s="46"/>
      <c r="M9" s="46"/>
      <c r="N9" s="59"/>
      <c r="O9" s="46"/>
      <c r="P9" s="46"/>
    </row>
    <row r="10" spans="1:20" ht="15.75" thickBot="1">
      <c r="A10" s="73" t="s">
        <v>123</v>
      </c>
      <c r="B10" s="61"/>
      <c r="C10" s="154">
        <f>C8/C9</f>
        <v>863.21149241819637</v>
      </c>
      <c r="D10" s="46"/>
      <c r="E10" s="62"/>
      <c r="F10" s="63"/>
      <c r="G10" s="62" t="s">
        <v>29</v>
      </c>
      <c r="H10" s="203" t="s">
        <v>0</v>
      </c>
      <c r="I10" s="204" t="s">
        <v>1</v>
      </c>
      <c r="J10" s="204" t="s">
        <v>2</v>
      </c>
      <c r="K10" s="204" t="s">
        <v>3</v>
      </c>
      <c r="L10" s="204" t="s">
        <v>4</v>
      </c>
      <c r="M10" s="204" t="s">
        <v>5</v>
      </c>
      <c r="N10" s="204" t="s">
        <v>101</v>
      </c>
      <c r="O10" s="204" t="s">
        <v>102</v>
      </c>
      <c r="P10" s="205" t="s">
        <v>103</v>
      </c>
      <c r="R10" s="547" t="s">
        <v>253</v>
      </c>
    </row>
    <row r="11" spans="1:20" ht="15.75" thickBot="1">
      <c r="A11" s="155" t="s">
        <v>62</v>
      </c>
      <c r="B11" s="156"/>
      <c r="C11" s="157" t="s">
        <v>182</v>
      </c>
      <c r="D11" s="46"/>
      <c r="E11" s="598" t="s">
        <v>31</v>
      </c>
      <c r="F11" s="599"/>
      <c r="G11" s="599"/>
      <c r="H11" s="192"/>
      <c r="I11" s="178"/>
      <c r="J11" s="178"/>
      <c r="K11" s="178"/>
      <c r="L11" s="178"/>
      <c r="M11" s="178"/>
      <c r="N11" s="178"/>
      <c r="O11" s="178"/>
      <c r="P11" s="193"/>
      <c r="R11" s="543"/>
    </row>
    <row r="12" spans="1:20" ht="15.75" thickBot="1">
      <c r="A12" s="46"/>
      <c r="B12" s="46"/>
      <c r="C12" s="46"/>
      <c r="D12" s="46"/>
      <c r="E12" s="65" t="s">
        <v>180</v>
      </c>
      <c r="F12" s="166">
        <v>790</v>
      </c>
      <c r="G12" s="66">
        <f>F12*C9*12</f>
        <v>11878440</v>
      </c>
      <c r="H12" s="194">
        <f t="shared" ref="H12:P12" si="2">G12*H2+G12</f>
        <v>12234793.199999999</v>
      </c>
      <c r="I12" s="128">
        <f t="shared" si="2"/>
        <v>12571250.012999998</v>
      </c>
      <c r="J12" s="128">
        <f t="shared" si="2"/>
        <v>12916959.388357498</v>
      </c>
      <c r="K12" s="128">
        <f t="shared" si="2"/>
        <v>13272175.771537328</v>
      </c>
      <c r="L12" s="128">
        <f t="shared" si="2"/>
        <v>13637160.605254605</v>
      </c>
      <c r="M12" s="128">
        <f t="shared" si="2"/>
        <v>14012182.521899108</v>
      </c>
      <c r="N12" s="128">
        <f t="shared" si="2"/>
        <v>14397517.541251333</v>
      </c>
      <c r="O12" s="128">
        <f t="shared" si="2"/>
        <v>14793449.273635745</v>
      </c>
      <c r="P12" s="184">
        <f t="shared" si="2"/>
        <v>15200269.128660727</v>
      </c>
      <c r="R12" s="544">
        <f>H12</f>
        <v>12234793.199999999</v>
      </c>
    </row>
    <row r="13" spans="1:20" ht="16.5" customHeight="1" thickBot="1">
      <c r="A13" s="587" t="s">
        <v>44</v>
      </c>
      <c r="B13" s="588"/>
      <c r="C13" s="589"/>
      <c r="D13" s="46"/>
      <c r="E13" s="68" t="s">
        <v>132</v>
      </c>
      <c r="F13" s="494">
        <f>'Combined Cash Flow'!G2</f>
        <v>210</v>
      </c>
      <c r="G13" s="176">
        <f>'CC -Reno '!M9</f>
        <v>573300</v>
      </c>
      <c r="H13" s="69">
        <f>'CC -Reno '!M13</f>
        <v>1631700</v>
      </c>
      <c r="I13" s="177">
        <f>'CC -Reno '!M12*12</f>
        <v>2116800</v>
      </c>
      <c r="J13" s="177">
        <f t="shared" ref="J13:P13" si="3">I13*J2+I13</f>
        <v>2175012</v>
      </c>
      <c r="K13" s="177">
        <f t="shared" si="3"/>
        <v>2234824.83</v>
      </c>
      <c r="L13" s="177">
        <f t="shared" si="3"/>
        <v>2296282.5128250001</v>
      </c>
      <c r="M13" s="177">
        <f t="shared" si="3"/>
        <v>2359430.2819276876</v>
      </c>
      <c r="N13" s="177">
        <f t="shared" si="3"/>
        <v>2424314.6146806991</v>
      </c>
      <c r="O13" s="177">
        <f t="shared" si="3"/>
        <v>2490983.2665844182</v>
      </c>
      <c r="P13" s="71">
        <f t="shared" si="3"/>
        <v>2559485.3064154899</v>
      </c>
      <c r="R13" s="545">
        <f>'CC -Reno '!M12*12</f>
        <v>2116800</v>
      </c>
      <c r="T13" s="170"/>
    </row>
    <row r="14" spans="1:20" ht="15.75" thickBot="1">
      <c r="A14" s="73" t="s">
        <v>25</v>
      </c>
      <c r="B14" s="74"/>
      <c r="C14" s="518">
        <v>110000000</v>
      </c>
      <c r="D14" s="58"/>
      <c r="E14" s="68" t="s">
        <v>128</v>
      </c>
      <c r="F14" s="72">
        <f>G14/(G13+G12)</f>
        <v>-0.02</v>
      </c>
      <c r="G14" s="176">
        <f t="shared" ref="G14:P14" si="4">-(G13+G12)*G3</f>
        <v>-249034.80000000002</v>
      </c>
      <c r="H14" s="69">
        <f t="shared" si="4"/>
        <v>-277329.864</v>
      </c>
      <c r="I14" s="177">
        <f t="shared" si="4"/>
        <v>-220320.75019499997</v>
      </c>
      <c r="J14" s="177">
        <f t="shared" si="4"/>
        <v>-226379.57082536246</v>
      </c>
      <c r="K14" s="177">
        <f t="shared" si="4"/>
        <v>-232605.00902305992</v>
      </c>
      <c r="L14" s="177">
        <f t="shared" si="4"/>
        <v>-239001.64677119409</v>
      </c>
      <c r="M14" s="177">
        <f t="shared" si="4"/>
        <v>-245574.19205740193</v>
      </c>
      <c r="N14" s="177">
        <f t="shared" si="4"/>
        <v>-252327.48233898045</v>
      </c>
      <c r="O14" s="177">
        <f t="shared" si="4"/>
        <v>-259266.48810330246</v>
      </c>
      <c r="P14" s="71">
        <f t="shared" si="4"/>
        <v>-266396.31652614329</v>
      </c>
      <c r="R14" s="545">
        <f>-(R13+R12)*H3</f>
        <v>-287031.864</v>
      </c>
      <c r="T14" s="172"/>
    </row>
    <row r="15" spans="1:20" ht="15.75" thickBot="1">
      <c r="A15" s="73" t="s">
        <v>45</v>
      </c>
      <c r="B15" s="77"/>
      <c r="C15" s="519">
        <f>C14/C9</f>
        <v>87789.305666400644</v>
      </c>
      <c r="D15" s="46"/>
      <c r="E15" s="75" t="s">
        <v>6</v>
      </c>
      <c r="F15" s="76">
        <f>G15/(G12+G13)</f>
        <v>-0.1</v>
      </c>
      <c r="G15" s="176">
        <f>-(G12+G13)*G4</f>
        <v>-1245174</v>
      </c>
      <c r="H15" s="69">
        <f t="shared" ref="H15:P15" si="5">-(H12+H13)*H4</f>
        <v>-970654.52400000009</v>
      </c>
      <c r="I15" s="177">
        <f t="shared" si="5"/>
        <v>-881283.00077999989</v>
      </c>
      <c r="J15" s="177">
        <f t="shared" si="5"/>
        <v>-905518.28330144985</v>
      </c>
      <c r="K15" s="177">
        <f t="shared" si="5"/>
        <v>-930420.03609223966</v>
      </c>
      <c r="L15" s="177">
        <f t="shared" si="5"/>
        <v>-956006.58708477637</v>
      </c>
      <c r="M15" s="177">
        <f t="shared" si="5"/>
        <v>-982296.76822960773</v>
      </c>
      <c r="N15" s="177">
        <f t="shared" si="5"/>
        <v>-1009309.9293559218</v>
      </c>
      <c r="O15" s="177">
        <f t="shared" si="5"/>
        <v>-1037065.9524132098</v>
      </c>
      <c r="P15" s="71">
        <f t="shared" si="5"/>
        <v>-1065585.2661045732</v>
      </c>
      <c r="R15" s="545">
        <f>-(R13+R12)*H4</f>
        <v>-1004611.5240000001</v>
      </c>
    </row>
    <row r="16" spans="1:20" ht="15.75" thickBot="1">
      <c r="A16" s="73" t="s">
        <v>46</v>
      </c>
      <c r="B16" s="57"/>
      <c r="C16" s="78">
        <f>G40</f>
        <v>5754497.954858386</v>
      </c>
      <c r="D16" s="46"/>
      <c r="E16" s="75" t="s">
        <v>175</v>
      </c>
      <c r="F16" s="497"/>
      <c r="G16" s="176">
        <f>-G12*G5</f>
        <v>-118784.40000000001</v>
      </c>
      <c r="H16" s="69">
        <f>-H12*H5</f>
        <v>-122347.932</v>
      </c>
      <c r="I16" s="177">
        <f t="shared" ref="I16:P16" si="6">-I12*I5</f>
        <v>-125712.50012999999</v>
      </c>
      <c r="J16" s="177">
        <f t="shared" si="6"/>
        <v>-129169.59388357498</v>
      </c>
      <c r="K16" s="177">
        <f t="shared" si="6"/>
        <v>-132721.75771537327</v>
      </c>
      <c r="L16" s="177">
        <f t="shared" si="6"/>
        <v>-136371.60605254606</v>
      </c>
      <c r="M16" s="177">
        <f t="shared" si="6"/>
        <v>-140121.82521899109</v>
      </c>
      <c r="N16" s="177">
        <f t="shared" si="6"/>
        <v>-143975.17541251334</v>
      </c>
      <c r="O16" s="177">
        <f t="shared" si="6"/>
        <v>-147934.49273635747</v>
      </c>
      <c r="P16" s="71">
        <f t="shared" si="6"/>
        <v>-152002.69128660727</v>
      </c>
      <c r="R16" s="545">
        <f>-R12*H5</f>
        <v>-122347.932</v>
      </c>
    </row>
    <row r="17" spans="1:18" ht="15.75" thickBot="1">
      <c r="A17" s="73" t="s">
        <v>47</v>
      </c>
      <c r="B17" s="57"/>
      <c r="C17" s="79">
        <f>'CC - Cash Flow Projections'!G40/C14</f>
        <v>5.231361777143987E-2</v>
      </c>
      <c r="D17" s="46"/>
      <c r="E17" s="80" t="s">
        <v>7</v>
      </c>
      <c r="F17" s="81"/>
      <c r="G17" s="176">
        <f>-(G12+G13)*G6</f>
        <v>-249034.80000000002</v>
      </c>
      <c r="H17" s="69">
        <f t="shared" ref="H17:P17" si="7">-(H12+H13)*H6</f>
        <v>-207997.39799999999</v>
      </c>
      <c r="I17" s="177">
        <f t="shared" si="7"/>
        <v>-220320.75019499997</v>
      </c>
      <c r="J17" s="177">
        <f t="shared" si="7"/>
        <v>-226379.57082536246</v>
      </c>
      <c r="K17" s="177">
        <f t="shared" si="7"/>
        <v>-232605.00902305992</v>
      </c>
      <c r="L17" s="177">
        <f t="shared" si="7"/>
        <v>-239001.64677119409</v>
      </c>
      <c r="M17" s="177">
        <f t="shared" si="7"/>
        <v>-245574.19205740193</v>
      </c>
      <c r="N17" s="177">
        <f t="shared" si="7"/>
        <v>-252327.48233898045</v>
      </c>
      <c r="O17" s="177">
        <f t="shared" si="7"/>
        <v>-259266.48810330246</v>
      </c>
      <c r="P17" s="71">
        <f t="shared" si="7"/>
        <v>-266396.31652614329</v>
      </c>
      <c r="R17" s="546">
        <f>-(R12+R13)*H6</f>
        <v>-215273.89799999999</v>
      </c>
    </row>
    <row r="18" spans="1:18" ht="15.75" thickBot="1">
      <c r="A18" s="73" t="s">
        <v>131</v>
      </c>
      <c r="B18" s="549">
        <v>1.4999999999999999E-2</v>
      </c>
      <c r="C18" s="83">
        <f>B18*C14</f>
        <v>1650000</v>
      </c>
      <c r="D18" s="46"/>
      <c r="E18" s="80" t="s">
        <v>222</v>
      </c>
      <c r="F18" s="528">
        <f>'Combined Cash Flow'!G3</f>
        <v>85</v>
      </c>
      <c r="G18" s="177">
        <f>'CC -Reno '!M25</f>
        <v>318240</v>
      </c>
      <c r="H18" s="69">
        <f>'CC -Reno '!M30</f>
        <v>905760</v>
      </c>
      <c r="I18" s="177">
        <f>'CC -Reno '!M29*12</f>
        <v>1175040</v>
      </c>
      <c r="J18" s="177">
        <f>I18</f>
        <v>1175040</v>
      </c>
      <c r="K18" s="177">
        <f t="shared" ref="K18:P18" si="8">J18</f>
        <v>1175040</v>
      </c>
      <c r="L18" s="177">
        <f t="shared" si="8"/>
        <v>1175040</v>
      </c>
      <c r="M18" s="177">
        <f t="shared" si="8"/>
        <v>1175040</v>
      </c>
      <c r="N18" s="177">
        <f t="shared" si="8"/>
        <v>1175040</v>
      </c>
      <c r="O18" s="177">
        <f t="shared" si="8"/>
        <v>1175040</v>
      </c>
      <c r="P18" s="71">
        <f t="shared" si="8"/>
        <v>1175040</v>
      </c>
      <c r="R18" s="545">
        <f>'CC -Reno '!M29*12</f>
        <v>1175040</v>
      </c>
    </row>
    <row r="19" spans="1:18" ht="15.75" thickBot="1">
      <c r="A19" s="73" t="s">
        <v>133</v>
      </c>
      <c r="B19" s="82">
        <v>0.01</v>
      </c>
      <c r="C19" s="83">
        <f>C14*B19</f>
        <v>1100000</v>
      </c>
      <c r="D19" s="46"/>
      <c r="E19" s="185" t="s">
        <v>223</v>
      </c>
      <c r="F19" s="527" t="s">
        <v>221</v>
      </c>
      <c r="G19" s="149">
        <f>C9*350</f>
        <v>438550</v>
      </c>
      <c r="H19" s="148">
        <f t="shared" ref="H19:P19" si="9">G19*H2+G19</f>
        <v>451706.5</v>
      </c>
      <c r="I19" s="149">
        <f t="shared" si="9"/>
        <v>464128.42875000002</v>
      </c>
      <c r="J19" s="149">
        <f t="shared" si="9"/>
        <v>476891.96054062503</v>
      </c>
      <c r="K19" s="149">
        <f t="shared" si="9"/>
        <v>490006.48945549224</v>
      </c>
      <c r="L19" s="149">
        <f t="shared" si="9"/>
        <v>503481.66791551828</v>
      </c>
      <c r="M19" s="149">
        <f t="shared" si="9"/>
        <v>517327.41378319502</v>
      </c>
      <c r="N19" s="149">
        <f t="shared" si="9"/>
        <v>531553.91766223288</v>
      </c>
      <c r="O19" s="149">
        <f t="shared" si="9"/>
        <v>546171.65039794426</v>
      </c>
      <c r="P19" s="150">
        <f t="shared" si="9"/>
        <v>561191.37078388769</v>
      </c>
      <c r="R19" s="544">
        <f>H19</f>
        <v>451706.5</v>
      </c>
    </row>
    <row r="20" spans="1:18" ht="15.75" thickBot="1">
      <c r="A20" s="73" t="s">
        <v>172</v>
      </c>
      <c r="B20" s="95">
        <f>C20/C9</f>
        <v>0</v>
      </c>
      <c r="C20" s="83"/>
      <c r="D20" s="46"/>
      <c r="E20" s="62" t="s">
        <v>8</v>
      </c>
      <c r="F20" s="84"/>
      <c r="G20" s="85">
        <f t="shared" ref="G20:P20" si="10">SUM(G12:G19)</f>
        <v>11346501.999999998</v>
      </c>
      <c r="H20" s="86">
        <f t="shared" si="10"/>
        <v>13645629.981999999</v>
      </c>
      <c r="I20" s="85">
        <f t="shared" si="10"/>
        <v>14879581.44045</v>
      </c>
      <c r="J20" s="85">
        <f t="shared" si="10"/>
        <v>15256456.330062371</v>
      </c>
      <c r="K20" s="85">
        <f t="shared" si="10"/>
        <v>15643695.27913909</v>
      </c>
      <c r="L20" s="85">
        <f t="shared" si="10"/>
        <v>16041583.299315413</v>
      </c>
      <c r="M20" s="85">
        <f t="shared" si="10"/>
        <v>16450413.240046587</v>
      </c>
      <c r="N20" s="85">
        <f t="shared" si="10"/>
        <v>16870486.004147869</v>
      </c>
      <c r="O20" s="85">
        <f t="shared" si="10"/>
        <v>17302110.769261934</v>
      </c>
      <c r="P20" s="87">
        <f t="shared" si="10"/>
        <v>17745605.21541664</v>
      </c>
      <c r="R20" s="548">
        <f>SUM(R12:R19)</f>
        <v>14349074.481999999</v>
      </c>
    </row>
    <row r="21" spans="1:18" ht="15.75" thickBot="1">
      <c r="A21" s="73" t="s">
        <v>49</v>
      </c>
      <c r="B21" s="57"/>
      <c r="C21" s="83">
        <f>C30</f>
        <v>88000000</v>
      </c>
      <c r="D21" s="46"/>
      <c r="E21" s="587" t="s">
        <v>9</v>
      </c>
      <c r="F21" s="588"/>
      <c r="G21" s="588"/>
      <c r="H21" s="63"/>
      <c r="I21" s="63"/>
      <c r="J21" s="63"/>
      <c r="K21" s="63"/>
      <c r="L21" s="63"/>
      <c r="M21" s="63"/>
      <c r="N21" s="63"/>
      <c r="O21" s="63"/>
      <c r="P21" s="64"/>
    </row>
    <row r="22" spans="1:18" ht="15.75" thickBot="1">
      <c r="A22" s="73" t="s">
        <v>40</v>
      </c>
      <c r="B22" s="57"/>
      <c r="C22" s="89">
        <f>C21/C14</f>
        <v>0.8</v>
      </c>
      <c r="D22" s="46"/>
      <c r="E22" s="189" t="s">
        <v>11</v>
      </c>
      <c r="F22" s="96">
        <f>Payroll!C39</f>
        <v>818.35511982570802</v>
      </c>
      <c r="G22" s="95">
        <f>F22*C9</f>
        <v>1025398.9651416121</v>
      </c>
      <c r="H22" s="146">
        <f t="shared" ref="H22:P22" si="11">G22*H7+G22</f>
        <v>1048470.4418572984</v>
      </c>
      <c r="I22" s="181">
        <f t="shared" si="11"/>
        <v>1072061.0267990876</v>
      </c>
      <c r="J22" s="181">
        <f t="shared" si="11"/>
        <v>1096182.3999020671</v>
      </c>
      <c r="K22" s="181">
        <f t="shared" si="11"/>
        <v>1120846.5038998637</v>
      </c>
      <c r="L22" s="181">
        <f t="shared" si="11"/>
        <v>1146065.5502376107</v>
      </c>
      <c r="M22" s="181">
        <f t="shared" si="11"/>
        <v>1171852.025117957</v>
      </c>
      <c r="N22" s="181">
        <f t="shared" si="11"/>
        <v>1198218.695683111</v>
      </c>
      <c r="O22" s="181">
        <f t="shared" si="11"/>
        <v>1225178.6163359811</v>
      </c>
      <c r="P22" s="147">
        <f t="shared" si="11"/>
        <v>1252745.1352035406</v>
      </c>
    </row>
    <row r="23" spans="1:18" ht="15.75" thickBot="1">
      <c r="A23" s="73" t="s">
        <v>28</v>
      </c>
      <c r="B23" s="57"/>
      <c r="C23" s="90">
        <f>C14+C18+C19+C20-C21</f>
        <v>24750000</v>
      </c>
      <c r="D23" s="46"/>
      <c r="E23" s="189" t="s">
        <v>12</v>
      </c>
      <c r="F23" s="96">
        <v>75</v>
      </c>
      <c r="G23" s="95">
        <f>F23*C9</f>
        <v>93975</v>
      </c>
      <c r="H23" s="146">
        <f t="shared" ref="H23:P23" si="12">G23*H7+G23</f>
        <v>96089.4375</v>
      </c>
      <c r="I23" s="181">
        <f t="shared" si="12"/>
        <v>98251.449843750001</v>
      </c>
      <c r="J23" s="181">
        <f t="shared" si="12"/>
        <v>100462.10746523438</v>
      </c>
      <c r="K23" s="181">
        <f t="shared" si="12"/>
        <v>102722.50488320216</v>
      </c>
      <c r="L23" s="181">
        <f t="shared" si="12"/>
        <v>105033.7612430742</v>
      </c>
      <c r="M23" s="181">
        <f t="shared" si="12"/>
        <v>107397.02087104337</v>
      </c>
      <c r="N23" s="181">
        <f t="shared" si="12"/>
        <v>109813.45384064184</v>
      </c>
      <c r="O23" s="181">
        <f t="shared" si="12"/>
        <v>112284.25655205628</v>
      </c>
      <c r="P23" s="147">
        <f t="shared" si="12"/>
        <v>114810.65232447755</v>
      </c>
    </row>
    <row r="24" spans="1:18" ht="15.75" thickBot="1">
      <c r="A24" s="91" t="s">
        <v>50</v>
      </c>
      <c r="B24" s="92"/>
      <c r="C24" s="171"/>
      <c r="D24" s="46"/>
      <c r="E24" s="189" t="s">
        <v>10</v>
      </c>
      <c r="F24" s="96">
        <v>250</v>
      </c>
      <c r="G24" s="95">
        <f>F24*'CC - Cash Flow Projections'!C9</f>
        <v>313250</v>
      </c>
      <c r="H24" s="146">
        <f t="shared" ref="H24:P24" si="13">G24*H7+G24</f>
        <v>320298.125</v>
      </c>
      <c r="I24" s="181">
        <f t="shared" si="13"/>
        <v>327504.83281250001</v>
      </c>
      <c r="J24" s="181">
        <f t="shared" si="13"/>
        <v>334873.69155078125</v>
      </c>
      <c r="K24" s="181">
        <f t="shared" si="13"/>
        <v>342408.34961067385</v>
      </c>
      <c r="L24" s="181">
        <f t="shared" si="13"/>
        <v>350112.537476914</v>
      </c>
      <c r="M24" s="181">
        <f t="shared" si="13"/>
        <v>357990.06957014458</v>
      </c>
      <c r="N24" s="181">
        <f t="shared" si="13"/>
        <v>366044.84613547282</v>
      </c>
      <c r="O24" s="181">
        <f t="shared" si="13"/>
        <v>374280.85517352098</v>
      </c>
      <c r="P24" s="147">
        <f t="shared" si="13"/>
        <v>382702.17441492522</v>
      </c>
    </row>
    <row r="25" spans="1:18" ht="15.75" thickBot="1">
      <c r="A25" s="46"/>
      <c r="B25" s="46"/>
      <c r="C25" s="46"/>
      <c r="D25" s="46"/>
      <c r="E25" s="189" t="s">
        <v>13</v>
      </c>
      <c r="F25" s="97">
        <v>350</v>
      </c>
      <c r="G25" s="95">
        <f>F25*C9</f>
        <v>438550</v>
      </c>
      <c r="H25" s="146">
        <f t="shared" ref="H25:P25" si="14">G25*H7+G25</f>
        <v>448417.375</v>
      </c>
      <c r="I25" s="181">
        <f t="shared" si="14"/>
        <v>458506.76593749999</v>
      </c>
      <c r="J25" s="181">
        <f t="shared" si="14"/>
        <v>468823.16817109374</v>
      </c>
      <c r="K25" s="181">
        <f t="shared" si="14"/>
        <v>479371.68945494335</v>
      </c>
      <c r="L25" s="181">
        <f t="shared" si="14"/>
        <v>490157.55246767955</v>
      </c>
      <c r="M25" s="181">
        <f t="shared" si="14"/>
        <v>501186.09739820234</v>
      </c>
      <c r="N25" s="181">
        <f t="shared" si="14"/>
        <v>512462.78458966187</v>
      </c>
      <c r="O25" s="181">
        <f t="shared" si="14"/>
        <v>523993.19724292925</v>
      </c>
      <c r="P25" s="147">
        <f t="shared" si="14"/>
        <v>535783.0441808952</v>
      </c>
    </row>
    <row r="26" spans="1:18" ht="15.75" thickBot="1">
      <c r="A26" s="587" t="s">
        <v>224</v>
      </c>
      <c r="B26" s="588"/>
      <c r="C26" s="589"/>
      <c r="D26" s="46"/>
      <c r="E26" s="190" t="s">
        <v>14</v>
      </c>
      <c r="F26" s="98" t="s">
        <v>184</v>
      </c>
      <c r="G26" s="99">
        <f>(500*C9)*0.4</f>
        <v>250600</v>
      </c>
      <c r="H26" s="146">
        <f t="shared" ref="H26:P26" si="15">G26*H7+G26</f>
        <v>256238.5</v>
      </c>
      <c r="I26" s="181">
        <f t="shared" si="15"/>
        <v>262003.86624999999</v>
      </c>
      <c r="J26" s="181">
        <f t="shared" si="15"/>
        <v>267898.95324062498</v>
      </c>
      <c r="K26" s="181">
        <f t="shared" si="15"/>
        <v>273926.67968853906</v>
      </c>
      <c r="L26" s="181">
        <f t="shared" si="15"/>
        <v>280090.0299815312</v>
      </c>
      <c r="M26" s="181">
        <f t="shared" si="15"/>
        <v>286392.05565611564</v>
      </c>
      <c r="N26" s="181">
        <f t="shared" si="15"/>
        <v>292835.87690837827</v>
      </c>
      <c r="O26" s="181">
        <f t="shared" si="15"/>
        <v>299424.68413881678</v>
      </c>
      <c r="P26" s="147">
        <f t="shared" si="15"/>
        <v>306161.73953194014</v>
      </c>
    </row>
    <row r="27" spans="1:18" ht="15.75" thickBot="1">
      <c r="A27" s="65" t="s">
        <v>26</v>
      </c>
      <c r="B27" s="250"/>
      <c r="C27" s="251">
        <f>C14*C28</f>
        <v>88000000</v>
      </c>
      <c r="D27" s="46"/>
      <c r="E27" s="191" t="s">
        <v>15</v>
      </c>
      <c r="F27" s="187"/>
      <c r="G27" s="177"/>
      <c r="H27" s="144"/>
      <c r="I27" s="182"/>
      <c r="J27" s="182"/>
      <c r="K27" s="182"/>
      <c r="L27" s="182"/>
      <c r="M27" s="182"/>
      <c r="N27" s="182"/>
      <c r="O27" s="182"/>
      <c r="P27" s="145"/>
    </row>
    <row r="28" spans="1:18" ht="15.75" thickBot="1">
      <c r="A28" s="73" t="s">
        <v>40</v>
      </c>
      <c r="B28" s="57"/>
      <c r="C28" s="493">
        <v>0.8</v>
      </c>
      <c r="D28" s="46"/>
      <c r="E28" s="186" t="s">
        <v>171</v>
      </c>
      <c r="F28" s="187" t="s">
        <v>185</v>
      </c>
      <c r="G28" s="188">
        <v>100000</v>
      </c>
      <c r="H28" s="144"/>
      <c r="I28" s="182"/>
      <c r="J28" s="182"/>
      <c r="K28" s="182"/>
      <c r="L28" s="182"/>
      <c r="M28" s="182"/>
      <c r="N28" s="182"/>
      <c r="O28" s="182"/>
      <c r="P28" s="145"/>
    </row>
    <row r="29" spans="1:18" ht="15.75" thickBot="1">
      <c r="A29" s="73" t="s">
        <v>225</v>
      </c>
      <c r="B29" s="57"/>
      <c r="C29" s="79">
        <v>3.2500000000000001E-2</v>
      </c>
      <c r="D29" s="46"/>
      <c r="E29" s="186" t="s">
        <v>16</v>
      </c>
      <c r="F29" s="187" t="s">
        <v>185</v>
      </c>
      <c r="G29" s="188">
        <v>25000</v>
      </c>
      <c r="H29" s="144"/>
      <c r="I29" s="182"/>
      <c r="J29" s="182"/>
      <c r="K29" s="182"/>
      <c r="L29" s="182"/>
      <c r="M29" s="182"/>
      <c r="N29" s="182"/>
      <c r="O29" s="182"/>
      <c r="P29" s="145"/>
    </row>
    <row r="30" spans="1:18" ht="15.75" thickBot="1">
      <c r="A30" s="73" t="s">
        <v>228</v>
      </c>
      <c r="B30" s="57"/>
      <c r="C30" s="492">
        <f>C27</f>
        <v>88000000</v>
      </c>
      <c r="D30" s="46"/>
      <c r="E30" s="186" t="s">
        <v>17</v>
      </c>
      <c r="F30" s="187" t="s">
        <v>185</v>
      </c>
      <c r="G30" s="188">
        <v>50000</v>
      </c>
      <c r="H30" s="144"/>
      <c r="I30" s="182"/>
      <c r="J30" s="182"/>
      <c r="K30" s="182"/>
      <c r="L30" s="182"/>
      <c r="M30" s="182"/>
      <c r="N30" s="182"/>
      <c r="O30" s="182"/>
      <c r="P30" s="145"/>
    </row>
    <row r="31" spans="1:18" ht="15.75" thickBot="1">
      <c r="A31" s="91"/>
      <c r="B31" s="92"/>
      <c r="C31" s="253"/>
      <c r="D31" s="46"/>
      <c r="E31" s="186" t="s">
        <v>174</v>
      </c>
      <c r="F31" s="187" t="s">
        <v>185</v>
      </c>
      <c r="G31" s="188">
        <v>25000</v>
      </c>
      <c r="H31" s="144"/>
      <c r="I31" s="182"/>
      <c r="J31" s="182"/>
      <c r="K31" s="182"/>
      <c r="L31" s="182"/>
      <c r="M31" s="182"/>
      <c r="N31" s="182"/>
      <c r="O31" s="182"/>
      <c r="P31" s="145"/>
    </row>
    <row r="32" spans="1:18" ht="15.75" thickBot="1">
      <c r="A32" s="587" t="s">
        <v>243</v>
      </c>
      <c r="B32" s="588"/>
      <c r="C32" s="589"/>
      <c r="D32" s="46"/>
      <c r="E32" s="189" t="s">
        <v>18</v>
      </c>
      <c r="F32" s="187"/>
      <c r="G32" s="95">
        <f>SUM(G28:G31)</f>
        <v>200000</v>
      </c>
      <c r="H32" s="146">
        <f t="shared" ref="H32:P32" si="16">G32*H7+G32</f>
        <v>204500</v>
      </c>
      <c r="I32" s="181">
        <f t="shared" si="16"/>
        <v>209101.25</v>
      </c>
      <c r="J32" s="181">
        <f t="shared" si="16"/>
        <v>213806.02812500001</v>
      </c>
      <c r="K32" s="181">
        <f t="shared" si="16"/>
        <v>218616.66375781252</v>
      </c>
      <c r="L32" s="181">
        <f t="shared" si="16"/>
        <v>223535.53869236331</v>
      </c>
      <c r="M32" s="181">
        <f t="shared" si="16"/>
        <v>228565.08831294149</v>
      </c>
      <c r="N32" s="181">
        <f t="shared" si="16"/>
        <v>233707.80279998266</v>
      </c>
      <c r="O32" s="181">
        <f t="shared" si="16"/>
        <v>238966.22836298228</v>
      </c>
      <c r="P32" s="147">
        <f t="shared" si="16"/>
        <v>244342.96850114939</v>
      </c>
    </row>
    <row r="33" spans="1:16" ht="15.75" thickBot="1">
      <c r="A33" s="191" t="s">
        <v>251</v>
      </c>
      <c r="B33" s="510"/>
      <c r="C33" s="511">
        <f>R20</f>
        <v>14349074.481999999</v>
      </c>
      <c r="D33" s="46"/>
      <c r="E33" s="189" t="s">
        <v>136</v>
      </c>
      <c r="F33" s="525" t="s">
        <v>259</v>
      </c>
      <c r="G33" s="95">
        <f>C9*1000</f>
        <v>1253000</v>
      </c>
      <c r="H33" s="146">
        <f t="shared" ref="H33:P33" si="17">G33*H7+G33</f>
        <v>1281192.5</v>
      </c>
      <c r="I33" s="181">
        <f t="shared" si="17"/>
        <v>1310019.33125</v>
      </c>
      <c r="J33" s="181">
        <f t="shared" si="17"/>
        <v>1339494.766203125</v>
      </c>
      <c r="K33" s="181">
        <f t="shared" si="17"/>
        <v>1369633.3984426954</v>
      </c>
      <c r="L33" s="181">
        <f t="shared" si="17"/>
        <v>1400450.149907656</v>
      </c>
      <c r="M33" s="181">
        <f t="shared" si="17"/>
        <v>1431960.2782805783</v>
      </c>
      <c r="N33" s="181">
        <f t="shared" si="17"/>
        <v>1464179.3845418913</v>
      </c>
      <c r="O33" s="181">
        <f t="shared" si="17"/>
        <v>1497123.4206940839</v>
      </c>
      <c r="P33" s="147">
        <f t="shared" si="17"/>
        <v>1530808.6976597009</v>
      </c>
    </row>
    <row r="34" spans="1:16" ht="15.75" thickBot="1">
      <c r="A34" s="191" t="s">
        <v>250</v>
      </c>
      <c r="B34" s="510"/>
      <c r="C34" s="511">
        <f>H38</f>
        <v>5794871.4536372982</v>
      </c>
      <c r="D34" s="46"/>
      <c r="E34" s="249" t="s">
        <v>181</v>
      </c>
      <c r="F34" s="97">
        <v>250</v>
      </c>
      <c r="G34" s="95">
        <f>F34*C9</f>
        <v>313250</v>
      </c>
      <c r="H34" s="146">
        <f t="shared" ref="H34:P34" si="18">G34*H7+G34</f>
        <v>320298.125</v>
      </c>
      <c r="I34" s="181">
        <f t="shared" si="18"/>
        <v>327504.83281250001</v>
      </c>
      <c r="J34" s="181">
        <f t="shared" si="18"/>
        <v>334873.69155078125</v>
      </c>
      <c r="K34" s="181">
        <f t="shared" si="18"/>
        <v>342408.34961067385</v>
      </c>
      <c r="L34" s="181">
        <f t="shared" si="18"/>
        <v>350112.537476914</v>
      </c>
      <c r="M34" s="181">
        <f t="shared" si="18"/>
        <v>357990.06957014458</v>
      </c>
      <c r="N34" s="181">
        <f t="shared" si="18"/>
        <v>366044.84613547282</v>
      </c>
      <c r="O34" s="181">
        <f t="shared" si="18"/>
        <v>374280.85517352098</v>
      </c>
      <c r="P34" s="147">
        <f t="shared" si="18"/>
        <v>382702.17441492522</v>
      </c>
    </row>
    <row r="35" spans="1:16" ht="15.75" thickBot="1">
      <c r="A35" s="191" t="s">
        <v>252</v>
      </c>
      <c r="B35" s="510"/>
      <c r="C35" s="511">
        <f>C33-C34</f>
        <v>8554203.0283627007</v>
      </c>
      <c r="D35" s="46"/>
      <c r="E35" s="249" t="s">
        <v>127</v>
      </c>
      <c r="F35" s="533">
        <v>5.0099999999999999E-2</v>
      </c>
      <c r="G35" s="95">
        <f>C14*0.85*0.2*F35</f>
        <v>936870</v>
      </c>
      <c r="H35" s="146">
        <f t="shared" ref="H35:P35" si="19">G35*H8+G35</f>
        <v>960291.75</v>
      </c>
      <c r="I35" s="181">
        <f t="shared" si="19"/>
        <v>984299.04374999995</v>
      </c>
      <c r="J35" s="181">
        <f t="shared" si="19"/>
        <v>1008906.5198437499</v>
      </c>
      <c r="K35" s="181">
        <f t="shared" si="19"/>
        <v>1034129.1828398437</v>
      </c>
      <c r="L35" s="181">
        <f t="shared" si="19"/>
        <v>1059982.4124108397</v>
      </c>
      <c r="M35" s="181">
        <f t="shared" si="19"/>
        <v>1086481.9727211108</v>
      </c>
      <c r="N35" s="181">
        <f t="shared" si="19"/>
        <v>1113644.0220391385</v>
      </c>
      <c r="O35" s="181">
        <f t="shared" si="19"/>
        <v>1141485.1225901169</v>
      </c>
      <c r="P35" s="147">
        <f t="shared" si="19"/>
        <v>1170022.2506548699</v>
      </c>
    </row>
    <row r="36" spans="1:16" ht="15.75" thickBot="1">
      <c r="A36" s="191" t="s">
        <v>227</v>
      </c>
      <c r="B36" s="532">
        <v>0.06</v>
      </c>
      <c r="C36" s="511">
        <f>C35/B36</f>
        <v>142570050.47271168</v>
      </c>
      <c r="D36" s="46"/>
      <c r="E36" s="73" t="s">
        <v>19</v>
      </c>
      <c r="F36" s="566">
        <v>0.04</v>
      </c>
      <c r="G36" s="95">
        <f>G20*F36</f>
        <v>453860.07999999996</v>
      </c>
      <c r="H36" s="160">
        <f t="shared" ref="H36:P36" si="20">H20*$F36</f>
        <v>545825.19927999994</v>
      </c>
      <c r="I36" s="179">
        <f t="shared" si="20"/>
        <v>595183.25761800003</v>
      </c>
      <c r="J36" s="179">
        <f t="shared" si="20"/>
        <v>610258.25320249482</v>
      </c>
      <c r="K36" s="179">
        <f t="shared" si="20"/>
        <v>625747.81116556365</v>
      </c>
      <c r="L36" s="179">
        <f t="shared" si="20"/>
        <v>641663.33197261661</v>
      </c>
      <c r="M36" s="179">
        <f t="shared" si="20"/>
        <v>658016.52960186347</v>
      </c>
      <c r="N36" s="179">
        <f t="shared" si="20"/>
        <v>674819.44016591471</v>
      </c>
      <c r="O36" s="179">
        <f t="shared" si="20"/>
        <v>692084.4307704774</v>
      </c>
      <c r="P36" s="161">
        <f t="shared" si="20"/>
        <v>709824.20861666556</v>
      </c>
    </row>
    <row r="37" spans="1:16" ht="15.75" thickBot="1">
      <c r="A37" s="73" t="s">
        <v>26</v>
      </c>
      <c r="B37" s="57"/>
      <c r="C37" s="509">
        <f>C36*C38</f>
        <v>114056040.37816936</v>
      </c>
      <c r="D37" s="46"/>
      <c r="E37" s="192" t="s">
        <v>20</v>
      </c>
      <c r="F37" s="187">
        <v>250</v>
      </c>
      <c r="G37" s="179">
        <f>F37*C9</f>
        <v>313250</v>
      </c>
      <c r="H37" s="146">
        <f>G37</f>
        <v>313250</v>
      </c>
      <c r="I37" s="181">
        <f t="shared" ref="I37:P37" si="21">H37</f>
        <v>313250</v>
      </c>
      <c r="J37" s="181">
        <f t="shared" si="21"/>
        <v>313250</v>
      </c>
      <c r="K37" s="181">
        <f t="shared" si="21"/>
        <v>313250</v>
      </c>
      <c r="L37" s="181">
        <f t="shared" si="21"/>
        <v>313250</v>
      </c>
      <c r="M37" s="181">
        <f t="shared" si="21"/>
        <v>313250</v>
      </c>
      <c r="N37" s="181">
        <f t="shared" si="21"/>
        <v>313250</v>
      </c>
      <c r="O37" s="181">
        <f t="shared" si="21"/>
        <v>313250</v>
      </c>
      <c r="P37" s="147">
        <f t="shared" si="21"/>
        <v>313250</v>
      </c>
    </row>
    <row r="38" spans="1:16" ht="15.75" thickBot="1">
      <c r="A38" s="73" t="s">
        <v>40</v>
      </c>
      <c r="B38" s="57"/>
      <c r="C38" s="493">
        <v>0.8</v>
      </c>
      <c r="D38" s="46"/>
      <c r="E38" s="62" t="s">
        <v>21</v>
      </c>
      <c r="F38" s="563">
        <f>G38/'CC - Cash Flow Projections'!C9</f>
        <v>4462.8922946062348</v>
      </c>
      <c r="G38" s="85">
        <f t="shared" ref="G38:P38" si="22">G37+G36+G35+G34+G33+G32+G26+G25+G24+G23+G22</f>
        <v>5592004.0451416122</v>
      </c>
      <c r="H38" s="86">
        <f t="shared" si="22"/>
        <v>5794871.4536372982</v>
      </c>
      <c r="I38" s="85">
        <f t="shared" si="22"/>
        <v>5957685.6570733376</v>
      </c>
      <c r="J38" s="85">
        <f t="shared" si="22"/>
        <v>6088829.5792549523</v>
      </c>
      <c r="K38" s="85">
        <f t="shared" si="22"/>
        <v>6223061.1333538108</v>
      </c>
      <c r="L38" s="85">
        <f t="shared" si="22"/>
        <v>6360453.4018671997</v>
      </c>
      <c r="M38" s="85">
        <f t="shared" si="22"/>
        <v>6501081.2071001008</v>
      </c>
      <c r="N38" s="85">
        <f t="shared" si="22"/>
        <v>6645021.1528396662</v>
      </c>
      <c r="O38" s="85">
        <f t="shared" si="22"/>
        <v>6792351.6670344863</v>
      </c>
      <c r="P38" s="87">
        <f t="shared" si="22"/>
        <v>6943153.0455030892</v>
      </c>
    </row>
    <row r="39" spans="1:16" ht="15.75" thickBot="1">
      <c r="A39" s="73" t="s">
        <v>41</v>
      </c>
      <c r="B39" s="57"/>
      <c r="C39" s="78" t="s">
        <v>246</v>
      </c>
      <c r="D39" s="46"/>
      <c r="E39" s="119"/>
      <c r="F39" s="120"/>
      <c r="G39" s="121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5.75" thickBot="1">
      <c r="A40" s="73" t="s">
        <v>42</v>
      </c>
      <c r="B40" s="163"/>
      <c r="C40" s="252">
        <v>4.2500000000000003E-2</v>
      </c>
      <c r="D40" s="46"/>
      <c r="E40" s="62" t="s">
        <v>22</v>
      </c>
      <c r="F40" s="124"/>
      <c r="G40" s="85">
        <f t="shared" ref="G40:P40" si="23">G20-G38</f>
        <v>5754497.954858386</v>
      </c>
      <c r="H40" s="86">
        <f t="shared" si="23"/>
        <v>7850758.5283627007</v>
      </c>
      <c r="I40" s="85">
        <f t="shared" si="23"/>
        <v>8921895.7833766621</v>
      </c>
      <c r="J40" s="85">
        <f t="shared" si="23"/>
        <v>9167626.7508074194</v>
      </c>
      <c r="K40" s="85">
        <f t="shared" si="23"/>
        <v>9420634.1457852796</v>
      </c>
      <c r="L40" s="85">
        <f t="shared" si="23"/>
        <v>9681129.8974482138</v>
      </c>
      <c r="M40" s="85">
        <f t="shared" si="23"/>
        <v>9949332.032946486</v>
      </c>
      <c r="N40" s="85">
        <f t="shared" si="23"/>
        <v>10225464.851308202</v>
      </c>
      <c r="O40" s="85">
        <f t="shared" si="23"/>
        <v>10509759.102227448</v>
      </c>
      <c r="P40" s="87">
        <f t="shared" si="23"/>
        <v>10802452.169913551</v>
      </c>
    </row>
    <row r="41" spans="1:16" ht="15.75" thickBot="1">
      <c r="A41" s="192" t="s">
        <v>247</v>
      </c>
      <c r="B41" s="530"/>
      <c r="C41" s="531" t="s">
        <v>249</v>
      </c>
      <c r="D41" s="46"/>
      <c r="E41" s="88"/>
      <c r="F41" s="127"/>
      <c r="G41" s="128"/>
      <c r="H41" s="179"/>
      <c r="I41" s="183"/>
      <c r="J41" s="177"/>
      <c r="K41" s="179"/>
      <c r="L41" s="179"/>
      <c r="M41" s="179"/>
      <c r="N41" s="179"/>
      <c r="O41" s="179"/>
      <c r="P41" s="179"/>
    </row>
    <row r="42" spans="1:16" ht="15.75" thickBot="1">
      <c r="A42" s="155" t="s">
        <v>43</v>
      </c>
      <c r="B42" s="156"/>
      <c r="C42" s="157">
        <v>30</v>
      </c>
      <c r="D42" s="46"/>
      <c r="E42" s="65" t="s">
        <v>30</v>
      </c>
      <c r="F42" s="195"/>
      <c r="G42" s="507">
        <f>C27*C29</f>
        <v>2860000</v>
      </c>
      <c r="H42" s="508">
        <f>G42</f>
        <v>2860000</v>
      </c>
      <c r="I42" s="537">
        <f>C37*C40</f>
        <v>4847381.716072198</v>
      </c>
      <c r="J42" s="537">
        <f>I42</f>
        <v>4847381.716072198</v>
      </c>
      <c r="K42" s="537">
        <f>J42</f>
        <v>4847381.716072198</v>
      </c>
      <c r="L42" s="515">
        <f>'CC -Loan'!I26</f>
        <v>6733045.9296712577</v>
      </c>
      <c r="M42" s="516">
        <f>L42</f>
        <v>6733045.9296712577</v>
      </c>
      <c r="N42" s="516">
        <f>M42</f>
        <v>6733045.9296712577</v>
      </c>
      <c r="O42" s="516">
        <f>N42</f>
        <v>6733045.9296712577</v>
      </c>
      <c r="P42" s="130">
        <f>O42</f>
        <v>6733045.9296712577</v>
      </c>
    </row>
    <row r="43" spans="1:16" ht="15.75" thickBot="1">
      <c r="A43" s="46"/>
      <c r="B43" s="46"/>
      <c r="C43" s="46"/>
      <c r="D43" s="46"/>
      <c r="E43" s="91" t="s">
        <v>23</v>
      </c>
      <c r="F43" s="196"/>
      <c r="G43" s="197">
        <f t="shared" ref="G43:P43" si="24">G40-G42</f>
        <v>2894497.954858386</v>
      </c>
      <c r="H43" s="133">
        <f t="shared" si="24"/>
        <v>4990758.5283627007</v>
      </c>
      <c r="I43" s="133">
        <f t="shared" si="24"/>
        <v>4074514.0673044641</v>
      </c>
      <c r="J43" s="133">
        <f t="shared" si="24"/>
        <v>4320245.0347352214</v>
      </c>
      <c r="K43" s="133">
        <f t="shared" si="24"/>
        <v>4573252.4297130816</v>
      </c>
      <c r="L43" s="133">
        <f t="shared" si="24"/>
        <v>2948083.967776956</v>
      </c>
      <c r="M43" s="133">
        <f t="shared" si="24"/>
        <v>3216286.1032752283</v>
      </c>
      <c r="N43" s="133">
        <f t="shared" si="24"/>
        <v>3492418.9216369446</v>
      </c>
      <c r="O43" s="133">
        <f t="shared" si="24"/>
        <v>3776713.1725561898</v>
      </c>
      <c r="P43" s="134">
        <f t="shared" si="24"/>
        <v>4069406.2402422931</v>
      </c>
    </row>
    <row r="44" spans="1:16" ht="15.75" thickBot="1">
      <c r="A44" s="590" t="s">
        <v>51</v>
      </c>
      <c r="B44" s="591"/>
      <c r="C44" s="592"/>
      <c r="D44" s="46"/>
      <c r="E44" s="62" t="s">
        <v>173</v>
      </c>
      <c r="F44" s="124"/>
      <c r="G44" s="85">
        <f t="shared" ref="G44:P44" si="25">SUM(G43:G43)</f>
        <v>2894497.954858386</v>
      </c>
      <c r="H44" s="85">
        <f t="shared" si="25"/>
        <v>4990758.5283627007</v>
      </c>
      <c r="I44" s="85">
        <f t="shared" si="25"/>
        <v>4074514.0673044641</v>
      </c>
      <c r="J44" s="85">
        <f t="shared" si="25"/>
        <v>4320245.0347352214</v>
      </c>
      <c r="K44" s="85">
        <f t="shared" si="25"/>
        <v>4573252.4297130816</v>
      </c>
      <c r="L44" s="85">
        <f t="shared" si="25"/>
        <v>2948083.967776956</v>
      </c>
      <c r="M44" s="85">
        <f t="shared" si="25"/>
        <v>3216286.1032752283</v>
      </c>
      <c r="N44" s="85">
        <f t="shared" si="25"/>
        <v>3492418.9216369446</v>
      </c>
      <c r="O44" s="85">
        <f t="shared" si="25"/>
        <v>3776713.1725561898</v>
      </c>
      <c r="P44" s="87">
        <f t="shared" si="25"/>
        <v>4069406.2402422931</v>
      </c>
    </row>
    <row r="45" spans="1:16" ht="15.75" thickBot="1">
      <c r="A45" s="593" t="s">
        <v>52</v>
      </c>
      <c r="B45" s="594"/>
      <c r="C45" s="595"/>
      <c r="D45" s="46"/>
      <c r="E45" s="155" t="s">
        <v>24</v>
      </c>
      <c r="F45" s="247"/>
      <c r="G45" s="248">
        <f t="shared" ref="G45:P45" si="26">G44/$C23</f>
        <v>0.11694941231751055</v>
      </c>
      <c r="H45" s="248">
        <f t="shared" si="26"/>
        <v>0.20164680922677578</v>
      </c>
      <c r="I45" s="248">
        <f t="shared" si="26"/>
        <v>0.16462683100220057</v>
      </c>
      <c r="J45" s="248">
        <f t="shared" si="26"/>
        <v>0.17455535493879681</v>
      </c>
      <c r="K45" s="248">
        <f t="shared" si="26"/>
        <v>0.1847778759480033</v>
      </c>
      <c r="L45" s="248">
        <f t="shared" si="26"/>
        <v>0.11911450374856387</v>
      </c>
      <c r="M45" s="248">
        <f t="shared" si="26"/>
        <v>0.129950953667686</v>
      </c>
      <c r="N45" s="248">
        <f t="shared" si="26"/>
        <v>0.14110783521765433</v>
      </c>
      <c r="O45" s="248">
        <f t="shared" si="26"/>
        <v>0.1525944716184319</v>
      </c>
      <c r="P45" s="248">
        <f t="shared" si="26"/>
        <v>0.16442045415120377</v>
      </c>
    </row>
    <row r="46" spans="1:16" ht="15.75" thickBot="1">
      <c r="A46" s="101" t="s">
        <v>53</v>
      </c>
      <c r="B46" s="102">
        <f>C46/C48</f>
        <v>0.82169363860124534</v>
      </c>
      <c r="C46" s="78">
        <f>C37</f>
        <v>114056040.37816936</v>
      </c>
      <c r="D46" s="46"/>
      <c r="E46" s="135"/>
      <c r="F46" s="136"/>
      <c r="G46" s="159"/>
      <c r="H46" s="159"/>
      <c r="I46" s="159"/>
      <c r="J46" s="159"/>
      <c r="K46" s="159"/>
      <c r="L46" s="137"/>
      <c r="M46" s="137"/>
      <c r="N46" s="59"/>
      <c r="O46" s="46"/>
      <c r="P46" s="46"/>
    </row>
    <row r="47" spans="1:16">
      <c r="A47" s="103" t="s">
        <v>27</v>
      </c>
      <c r="B47" s="104">
        <f>C47/C48</f>
        <v>0.17830636139875466</v>
      </c>
      <c r="C47" s="105">
        <f>C23</f>
        <v>24750000</v>
      </c>
      <c r="D47" s="46"/>
      <c r="E47" s="138" t="s">
        <v>130</v>
      </c>
      <c r="F47" s="139"/>
      <c r="G47" s="206" t="s">
        <v>29</v>
      </c>
      <c r="H47" s="206" t="s">
        <v>0</v>
      </c>
      <c r="I47" s="206" t="s">
        <v>1</v>
      </c>
      <c r="J47" s="206" t="s">
        <v>2</v>
      </c>
      <c r="K47" s="206" t="s">
        <v>3</v>
      </c>
      <c r="L47" s="206" t="s">
        <v>4</v>
      </c>
      <c r="M47" s="206" t="s">
        <v>5</v>
      </c>
      <c r="N47" s="206" t="s">
        <v>101</v>
      </c>
      <c r="O47" s="206" t="s">
        <v>102</v>
      </c>
      <c r="P47" s="60" t="s">
        <v>103</v>
      </c>
    </row>
    <row r="48" spans="1:16" ht="15.75" thickBot="1">
      <c r="A48" s="106" t="s">
        <v>54</v>
      </c>
      <c r="B48" s="107">
        <v>1</v>
      </c>
      <c r="C48" s="108">
        <f>C47+C46</f>
        <v>138806040.37816936</v>
      </c>
      <c r="D48" s="46"/>
      <c r="E48" s="140"/>
      <c r="F48" s="120"/>
      <c r="G48" s="173">
        <f>C30</f>
        <v>88000000</v>
      </c>
      <c r="H48" s="174">
        <f>G48</f>
        <v>88000000</v>
      </c>
      <c r="I48" s="517">
        <f>C37</f>
        <v>114056040.37816936</v>
      </c>
      <c r="J48" s="517">
        <f>I48</f>
        <v>114056040.37816936</v>
      </c>
      <c r="K48" s="517">
        <f>J48</f>
        <v>114056040.37816936</v>
      </c>
      <c r="L48" s="149">
        <f>'CC -Loan'!F33</f>
        <v>112133207.89007173</v>
      </c>
      <c r="M48" s="149">
        <f>'CC -Loan'!F45</f>
        <v>110127044.23309399</v>
      </c>
      <c r="N48" s="149">
        <f>'CC -Loan'!F57</f>
        <v>108033938.02467948</v>
      </c>
      <c r="O48" s="149">
        <f>'CC -Loan'!F69</f>
        <v>105850121.37319882</v>
      </c>
      <c r="P48" s="175">
        <f>'CC -Loan'!F81</f>
        <v>103571663.09520406</v>
      </c>
    </row>
    <row r="49" spans="1:19" ht="15.75" thickBot="1">
      <c r="A49" s="587" t="s">
        <v>55</v>
      </c>
      <c r="B49" s="588"/>
      <c r="C49" s="589"/>
      <c r="D49" s="46"/>
      <c r="E49" s="141"/>
      <c r="F49" s="47"/>
      <c r="G49" s="100"/>
      <c r="H49" s="100"/>
      <c r="I49" s="100"/>
      <c r="J49" s="70"/>
      <c r="K49" s="70"/>
      <c r="L49" s="70"/>
      <c r="M49" s="70"/>
      <c r="N49" s="59"/>
      <c r="O49" s="46"/>
      <c r="P49" s="46"/>
    </row>
    <row r="50" spans="1:19" ht="15.75" thickBot="1">
      <c r="A50" s="101" t="s">
        <v>25</v>
      </c>
      <c r="B50" s="102">
        <f>C50/C48</f>
        <v>0.79247271732779856</v>
      </c>
      <c r="C50" s="83">
        <f>C14</f>
        <v>110000000</v>
      </c>
      <c r="D50" s="46"/>
      <c r="E50" s="117" t="s">
        <v>187</v>
      </c>
      <c r="F50" s="142">
        <f>-'CC - Cash Flow Projections'!C47</f>
        <v>-24750000</v>
      </c>
      <c r="G50" s="143">
        <f>G44</f>
        <v>2894497.954858386</v>
      </c>
      <c r="H50" s="143">
        <f t="shared" ref="H50:O50" si="27">H44</f>
        <v>4990758.5283627007</v>
      </c>
      <c r="I50" s="143">
        <f t="shared" si="27"/>
        <v>4074514.0673044641</v>
      </c>
      <c r="J50" s="143">
        <f t="shared" si="27"/>
        <v>4320245.0347352214</v>
      </c>
      <c r="K50" s="143">
        <f t="shared" si="27"/>
        <v>4573252.4297130816</v>
      </c>
      <c r="L50" s="143">
        <f t="shared" si="27"/>
        <v>2948083.967776956</v>
      </c>
      <c r="M50" s="143">
        <f t="shared" si="27"/>
        <v>3216286.1032752283</v>
      </c>
      <c r="N50" s="143">
        <f t="shared" si="27"/>
        <v>3492418.9216369446</v>
      </c>
      <c r="O50" s="143">
        <f t="shared" si="27"/>
        <v>3776713.1725561898</v>
      </c>
      <c r="P50" s="143">
        <f>P44+B63</f>
        <v>76937795.253626212</v>
      </c>
      <c r="Q50" s="167">
        <f>IRR(F50:P50)</f>
        <v>0.22333023980082589</v>
      </c>
    </row>
    <row r="51" spans="1:19" ht="15.75" thickBot="1">
      <c r="A51" s="109" t="s">
        <v>105</v>
      </c>
      <c r="B51" s="110">
        <f>C51/C48</f>
        <v>1.9811817933194965E-2</v>
      </c>
      <c r="C51" s="111">
        <f>C18+C19</f>
        <v>2750000</v>
      </c>
      <c r="D51" s="46"/>
      <c r="E51" s="117" t="s">
        <v>104</v>
      </c>
      <c r="F51" s="142">
        <f>-'CC - Cash Flow Projections'!C23</f>
        <v>-24750000</v>
      </c>
      <c r="G51" s="143">
        <f>G44</f>
        <v>2894497.954858386</v>
      </c>
      <c r="H51" s="143">
        <f t="shared" ref="H51:O51" si="28">H44</f>
        <v>4990758.5283627007</v>
      </c>
      <c r="I51" s="143">
        <f t="shared" si="28"/>
        <v>4074514.0673044641</v>
      </c>
      <c r="J51" s="143">
        <f t="shared" si="28"/>
        <v>4320245.0347352214</v>
      </c>
      <c r="K51" s="143">
        <f t="shared" si="28"/>
        <v>4573252.4297130816</v>
      </c>
      <c r="L51" s="143">
        <f t="shared" si="28"/>
        <v>2948083.967776956</v>
      </c>
      <c r="M51" s="143">
        <f t="shared" si="28"/>
        <v>3216286.1032752283</v>
      </c>
      <c r="N51" s="143">
        <f t="shared" si="28"/>
        <v>3492418.9216369446</v>
      </c>
      <c r="O51" s="143">
        <f t="shared" si="28"/>
        <v>3776713.1725561898</v>
      </c>
      <c r="P51" s="143">
        <f>P44+C63</f>
        <v>51732073.523827933</v>
      </c>
      <c r="Q51" s="168">
        <f>IRR(F51:P51)</f>
        <v>0.19337140504210604</v>
      </c>
    </row>
    <row r="52" spans="1:19" ht="15.75" thickBot="1">
      <c r="A52" s="101" t="s">
        <v>48</v>
      </c>
      <c r="B52" s="112">
        <f>C52/C48</f>
        <v>0</v>
      </c>
      <c r="C52" s="83">
        <f>C20</f>
        <v>0</v>
      </c>
      <c r="D52" s="46"/>
      <c r="E52" s="46"/>
      <c r="F52" s="47"/>
      <c r="G52" s="46"/>
      <c r="H52" s="46"/>
      <c r="I52" s="46"/>
      <c r="J52" s="46"/>
      <c r="K52" s="46"/>
      <c r="L52" s="46"/>
      <c r="M52" s="46"/>
      <c r="N52" s="59"/>
      <c r="O52" s="46"/>
      <c r="P52" s="46"/>
    </row>
    <row r="53" spans="1:19" ht="15.75" thickBot="1">
      <c r="A53" s="91" t="s">
        <v>56</v>
      </c>
      <c r="B53" s="113">
        <f>SUM(B50:B52)</f>
        <v>0.81228453526099353</v>
      </c>
      <c r="C53" s="114">
        <f>SUM(C50:C52)</f>
        <v>112750000</v>
      </c>
      <c r="D53" s="46"/>
      <c r="G53" s="420"/>
      <c r="H53" s="198"/>
      <c r="I53" s="198"/>
      <c r="J53" s="198"/>
      <c r="K53" s="198"/>
      <c r="L53" s="198"/>
      <c r="M53" s="198"/>
      <c r="N53" s="198"/>
      <c r="O53" s="198"/>
      <c r="P53" s="198"/>
      <c r="Q53" s="170"/>
    </row>
    <row r="54" spans="1:19" ht="15.75" thickBot="1">
      <c r="A54" s="49"/>
      <c r="B54" s="49"/>
      <c r="C54" s="158"/>
      <c r="D54" s="46"/>
      <c r="F54" s="201"/>
      <c r="G54" s="172"/>
      <c r="H54" s="172"/>
      <c r="I54" s="421"/>
      <c r="J54" s="172"/>
      <c r="K54" s="172"/>
      <c r="L54" s="172"/>
      <c r="M54" s="172"/>
      <c r="N54" s="172"/>
      <c r="O54" s="172"/>
      <c r="P54" s="172"/>
      <c r="Q54" s="202"/>
    </row>
    <row r="55" spans="1:19" ht="15.75" thickBot="1">
      <c r="A55" s="596" t="s">
        <v>170</v>
      </c>
      <c r="B55" s="594"/>
      <c r="C55" s="597"/>
      <c r="D55" s="46"/>
      <c r="F55" s="20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R55" s="198"/>
    </row>
    <row r="56" spans="1:19" ht="15.75" thickBot="1">
      <c r="A56" s="56" t="s">
        <v>32</v>
      </c>
      <c r="B56" s="57"/>
      <c r="C56" s="93">
        <v>10</v>
      </c>
      <c r="D56" s="46"/>
      <c r="G56" s="172"/>
      <c r="H56" s="172"/>
      <c r="I56" s="172"/>
      <c r="J56" s="172"/>
      <c r="K56" s="198"/>
      <c r="L56" s="172"/>
      <c r="M56" s="172"/>
      <c r="N56" s="172"/>
      <c r="O56" s="172"/>
      <c r="P56" s="172"/>
      <c r="R56" s="199"/>
    </row>
    <row r="57" spans="1:19" ht="15.75" thickBot="1">
      <c r="A57" s="56" t="s">
        <v>33</v>
      </c>
      <c r="B57" s="57"/>
      <c r="C57" s="94">
        <v>0.02</v>
      </c>
      <c r="D57" s="46"/>
      <c r="I57" s="172"/>
    </row>
    <row r="58" spans="1:19" ht="15.75" thickBot="1">
      <c r="A58" s="115" t="s">
        <v>34</v>
      </c>
      <c r="B58" s="92"/>
      <c r="C58" s="116">
        <f>P48</f>
        <v>103571663.09520406</v>
      </c>
      <c r="D58" s="46"/>
      <c r="G58" s="172"/>
    </row>
    <row r="59" spans="1:19" ht="15.75" thickBot="1">
      <c r="A59" s="118" t="s">
        <v>35</v>
      </c>
      <c r="B59" s="162">
        <v>0.06</v>
      </c>
      <c r="C59" s="254">
        <v>7.0000000000000007E-2</v>
      </c>
      <c r="D59" s="46"/>
    </row>
    <row r="60" spans="1:19" ht="15.75" thickBot="1">
      <c r="A60" s="56" t="s">
        <v>36</v>
      </c>
      <c r="B60" s="122">
        <f>P40/B59</f>
        <v>180040869.49855918</v>
      </c>
      <c r="C60" s="123">
        <f>P40/C59</f>
        <v>154320745.28447929</v>
      </c>
      <c r="D60" s="46"/>
    </row>
    <row r="61" spans="1:19" ht="15.75" thickBot="1">
      <c r="A61" s="56" t="s">
        <v>37</v>
      </c>
      <c r="B61" s="125">
        <f>-B60*C57</f>
        <v>-3600817.3899711836</v>
      </c>
      <c r="C61" s="126">
        <f>-C60*C57</f>
        <v>-3086414.905689586</v>
      </c>
      <c r="D61" s="46"/>
      <c r="S61" s="170"/>
    </row>
    <row r="62" spans="1:19" ht="15.75" thickBot="1">
      <c r="A62" s="56" t="s">
        <v>38</v>
      </c>
      <c r="B62" s="125">
        <f>-C58</f>
        <v>-103571663.09520406</v>
      </c>
      <c r="C62" s="129">
        <f>B62</f>
        <v>-103571663.09520406</v>
      </c>
      <c r="D62" s="46"/>
      <c r="S62" s="170"/>
    </row>
    <row r="63" spans="1:19" ht="15.75" thickBot="1">
      <c r="A63" s="67" t="s">
        <v>39</v>
      </c>
      <c r="B63" s="131">
        <f>SUM(B60:B62)</f>
        <v>72868389.013383925</v>
      </c>
      <c r="C63" s="132">
        <f>SUM(C60:C62)</f>
        <v>47662667.283585638</v>
      </c>
      <c r="D63" s="46"/>
    </row>
    <row r="64" spans="1:19">
      <c r="A64" s="49"/>
      <c r="B64" s="49"/>
      <c r="C64" s="49"/>
      <c r="D64" s="46"/>
    </row>
    <row r="65" spans="1:19">
      <c r="A65" s="49"/>
      <c r="B65" s="49"/>
      <c r="C65" s="49"/>
      <c r="D65" s="46"/>
      <c r="S65" s="170"/>
    </row>
    <row r="66" spans="1:19">
      <c r="C66" s="172"/>
      <c r="D66" s="46"/>
      <c r="S66" s="170"/>
    </row>
  </sheetData>
  <mergeCells count="11">
    <mergeCell ref="E11:G11"/>
    <mergeCell ref="E21:G21"/>
    <mergeCell ref="A2:C2"/>
    <mergeCell ref="A13:C13"/>
    <mergeCell ref="A5:C5"/>
    <mergeCell ref="A26:C26"/>
    <mergeCell ref="A32:C32"/>
    <mergeCell ref="A44:C44"/>
    <mergeCell ref="A45:C45"/>
    <mergeCell ref="A55:C55"/>
    <mergeCell ref="A49:C49"/>
  </mergeCells>
  <phoneticPr fontId="4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267D-0B75-430C-8580-7898573C804A}">
  <sheetPr>
    <tabColor rgb="FFFFC000"/>
  </sheetPr>
  <dimension ref="A1:P30"/>
  <sheetViews>
    <sheetView workbookViewId="0">
      <selection activeCell="E18" sqref="E18"/>
    </sheetView>
  </sheetViews>
  <sheetFormatPr defaultRowHeight="15"/>
  <cols>
    <col min="1" max="1" width="37.28515625" bestFit="1" customWidth="1"/>
    <col min="2" max="2" width="23.7109375" bestFit="1" customWidth="1"/>
    <col min="3" max="3" width="11.85546875" bestFit="1" customWidth="1"/>
    <col min="4" max="4" width="12.5703125" bestFit="1" customWidth="1"/>
    <col min="5" max="5" width="17" bestFit="1" customWidth="1"/>
    <col min="6" max="6" width="13.28515625" bestFit="1" customWidth="1"/>
    <col min="7" max="7" width="10.5703125" bestFit="1" customWidth="1"/>
    <col min="8" max="9" width="18.42578125" bestFit="1" customWidth="1"/>
    <col min="10" max="10" width="15.42578125" bestFit="1" customWidth="1"/>
    <col min="11" max="11" width="22.28515625" bestFit="1" customWidth="1"/>
    <col min="12" max="12" width="15.140625" bestFit="1" customWidth="1"/>
    <col min="13" max="13" width="21.5703125" bestFit="1" customWidth="1"/>
    <col min="14" max="15" width="19.5703125" bestFit="1" customWidth="1"/>
  </cols>
  <sheetData>
    <row r="1" spans="1:16">
      <c r="A1" s="38"/>
      <c r="B1" s="39"/>
      <c r="C1" s="40"/>
      <c r="D1" s="39"/>
      <c r="E1" s="40"/>
    </row>
    <row r="3" spans="1:16">
      <c r="A3" s="41" t="s">
        <v>120</v>
      </c>
      <c r="B3" s="42">
        <f>'CC - Cash Flow Projections'!F13</f>
        <v>210</v>
      </c>
      <c r="O3" s="164"/>
      <c r="P3" s="165"/>
    </row>
    <row r="4" spans="1:16">
      <c r="A4" s="41" t="s">
        <v>121</v>
      </c>
      <c r="B4" s="45">
        <v>35</v>
      </c>
      <c r="O4" s="164"/>
      <c r="P4" s="165"/>
    </row>
    <row r="5" spans="1:16">
      <c r="O5" s="164"/>
      <c r="P5" s="165"/>
    </row>
    <row r="6" spans="1:16">
      <c r="B6" s="36" t="s">
        <v>106</v>
      </c>
      <c r="C6" s="36" t="s">
        <v>107</v>
      </c>
      <c r="D6" s="36" t="s">
        <v>108</v>
      </c>
      <c r="E6" s="36" t="s">
        <v>109</v>
      </c>
      <c r="F6" s="36" t="s">
        <v>110</v>
      </c>
      <c r="G6" s="36" t="s">
        <v>111</v>
      </c>
      <c r="H6" s="36" t="s">
        <v>112</v>
      </c>
      <c r="I6" s="36" t="s">
        <v>113</v>
      </c>
      <c r="J6" s="36" t="s">
        <v>114</v>
      </c>
      <c r="K6" s="36" t="s">
        <v>115</v>
      </c>
      <c r="L6" s="36" t="s">
        <v>116</v>
      </c>
      <c r="M6" s="36" t="s">
        <v>117</v>
      </c>
      <c r="O6" s="164"/>
      <c r="P6" s="165"/>
    </row>
    <row r="7" spans="1:16">
      <c r="A7" s="36" t="s">
        <v>126</v>
      </c>
      <c r="B7" s="44">
        <f>B4</f>
        <v>35</v>
      </c>
      <c r="C7" s="44">
        <f>B4+B7</f>
        <v>70</v>
      </c>
      <c r="D7" s="44">
        <f t="shared" ref="D7:M7" si="0">C7+$B4</f>
        <v>105</v>
      </c>
      <c r="E7" s="44">
        <f t="shared" si="0"/>
        <v>140</v>
      </c>
      <c r="F7" s="44">
        <f t="shared" si="0"/>
        <v>175</v>
      </c>
      <c r="G7" s="44">
        <f t="shared" si="0"/>
        <v>210</v>
      </c>
      <c r="H7" s="44">
        <f t="shared" si="0"/>
        <v>245</v>
      </c>
      <c r="I7" s="44">
        <f t="shared" si="0"/>
        <v>280</v>
      </c>
      <c r="J7" s="44">
        <f t="shared" si="0"/>
        <v>315</v>
      </c>
      <c r="K7" s="44">
        <f t="shared" si="0"/>
        <v>350</v>
      </c>
      <c r="L7" s="44">
        <f t="shared" si="0"/>
        <v>385</v>
      </c>
      <c r="M7" s="44">
        <f t="shared" si="0"/>
        <v>420</v>
      </c>
      <c r="O7" s="164"/>
      <c r="P7" s="165"/>
    </row>
    <row r="8" spans="1:16">
      <c r="A8" s="36" t="s">
        <v>118</v>
      </c>
      <c r="B8" s="37">
        <f t="shared" ref="B8:M8" si="1">$B3*B7</f>
        <v>7350</v>
      </c>
      <c r="C8" s="37">
        <f t="shared" si="1"/>
        <v>14700</v>
      </c>
      <c r="D8" s="37">
        <f t="shared" si="1"/>
        <v>22050</v>
      </c>
      <c r="E8" s="37">
        <f t="shared" si="1"/>
        <v>29400</v>
      </c>
      <c r="F8" s="37">
        <f t="shared" si="1"/>
        <v>36750</v>
      </c>
      <c r="G8" s="37">
        <f t="shared" si="1"/>
        <v>44100</v>
      </c>
      <c r="H8" s="37">
        <f t="shared" si="1"/>
        <v>51450</v>
      </c>
      <c r="I8" s="37">
        <f t="shared" si="1"/>
        <v>58800</v>
      </c>
      <c r="J8" s="37">
        <f t="shared" si="1"/>
        <v>66150</v>
      </c>
      <c r="K8" s="37">
        <f t="shared" si="1"/>
        <v>73500</v>
      </c>
      <c r="L8" s="37">
        <f t="shared" si="1"/>
        <v>80850</v>
      </c>
      <c r="M8" s="37">
        <f t="shared" si="1"/>
        <v>88200</v>
      </c>
      <c r="O8" s="164"/>
      <c r="P8" s="165"/>
    </row>
    <row r="9" spans="1:16">
      <c r="L9" s="41" t="s">
        <v>119</v>
      </c>
      <c r="M9" s="43">
        <f>SUM(B8:M8)</f>
        <v>573300</v>
      </c>
    </row>
    <row r="10" spans="1:16">
      <c r="B10" s="36" t="s">
        <v>205</v>
      </c>
      <c r="C10" s="36" t="s">
        <v>206</v>
      </c>
      <c r="D10" s="36" t="s">
        <v>207</v>
      </c>
      <c r="E10" s="36" t="s">
        <v>208</v>
      </c>
      <c r="F10" s="36" t="s">
        <v>209</v>
      </c>
      <c r="G10" s="36" t="s">
        <v>210</v>
      </c>
      <c r="H10" s="36" t="s">
        <v>211</v>
      </c>
      <c r="I10" s="36" t="s">
        <v>212</v>
      </c>
      <c r="J10" s="36" t="s">
        <v>213</v>
      </c>
      <c r="K10" s="36" t="s">
        <v>214</v>
      </c>
      <c r="L10" s="36" t="s">
        <v>215</v>
      </c>
      <c r="M10" s="36" t="s">
        <v>216</v>
      </c>
    </row>
    <row r="11" spans="1:16">
      <c r="A11" s="36" t="s">
        <v>126</v>
      </c>
      <c r="B11" s="44">
        <f>M7+B4</f>
        <v>455</v>
      </c>
      <c r="C11" s="44">
        <f>B11+$B4</f>
        <v>490</v>
      </c>
      <c r="D11" s="44">
        <f>C11+$B4</f>
        <v>525</v>
      </c>
      <c r="E11" s="44">
        <f>D11+$B4</f>
        <v>560</v>
      </c>
      <c r="F11" s="44">
        <f>E11+$B4</f>
        <v>595</v>
      </c>
      <c r="G11" s="44">
        <f>F11+$B4</f>
        <v>630</v>
      </c>
      <c r="H11" s="44">
        <f t="shared" ref="H11:M11" si="2">G11+$B4</f>
        <v>665</v>
      </c>
      <c r="I11" s="44">
        <f t="shared" si="2"/>
        <v>700</v>
      </c>
      <c r="J11" s="44">
        <f t="shared" si="2"/>
        <v>735</v>
      </c>
      <c r="K11" s="44">
        <f t="shared" si="2"/>
        <v>770</v>
      </c>
      <c r="L11" s="44">
        <f t="shared" si="2"/>
        <v>805</v>
      </c>
      <c r="M11" s="44">
        <f t="shared" si="2"/>
        <v>840</v>
      </c>
    </row>
    <row r="12" spans="1:16">
      <c r="A12" s="36" t="s">
        <v>118</v>
      </c>
      <c r="B12" s="37">
        <f>B11*$B3</f>
        <v>95550</v>
      </c>
      <c r="C12" s="37">
        <f t="shared" ref="C12:M12" si="3">C11*$B3</f>
        <v>102900</v>
      </c>
      <c r="D12" s="37">
        <f t="shared" si="3"/>
        <v>110250</v>
      </c>
      <c r="E12" s="37">
        <f t="shared" si="3"/>
        <v>117600</v>
      </c>
      <c r="F12" s="37">
        <f t="shared" si="3"/>
        <v>124950</v>
      </c>
      <c r="G12" s="37">
        <f t="shared" si="3"/>
        <v>132300</v>
      </c>
      <c r="H12" s="37">
        <f t="shared" si="3"/>
        <v>139650</v>
      </c>
      <c r="I12" s="37">
        <f t="shared" si="3"/>
        <v>147000</v>
      </c>
      <c r="J12" s="37">
        <f t="shared" si="3"/>
        <v>154350</v>
      </c>
      <c r="K12" s="37">
        <f t="shared" si="3"/>
        <v>161700</v>
      </c>
      <c r="L12" s="37">
        <f t="shared" si="3"/>
        <v>169050</v>
      </c>
      <c r="M12" s="37">
        <f t="shared" si="3"/>
        <v>176400</v>
      </c>
    </row>
    <row r="13" spans="1:16">
      <c r="L13" s="41" t="s">
        <v>220</v>
      </c>
      <c r="M13" s="43">
        <f>SUM(B12:M12)</f>
        <v>1631700</v>
      </c>
    </row>
    <row r="19" spans="1:13">
      <c r="A19" s="503" t="s">
        <v>204</v>
      </c>
      <c r="B19" s="504">
        <f>'CC - Cash Flow Projections'!F18</f>
        <v>85</v>
      </c>
    </row>
    <row r="20" spans="1:13">
      <c r="A20" s="503" t="s">
        <v>219</v>
      </c>
      <c r="B20" s="505">
        <v>48</v>
      </c>
    </row>
    <row r="22" spans="1:13">
      <c r="B22" s="36" t="s">
        <v>106</v>
      </c>
      <c r="C22" s="36" t="s">
        <v>107</v>
      </c>
      <c r="D22" s="36" t="s">
        <v>108</v>
      </c>
      <c r="E22" s="36" t="s">
        <v>109</v>
      </c>
      <c r="F22" s="36" t="s">
        <v>110</v>
      </c>
      <c r="G22" s="36" t="s">
        <v>111</v>
      </c>
      <c r="H22" s="36" t="s">
        <v>112</v>
      </c>
      <c r="I22" s="36" t="s">
        <v>113</v>
      </c>
      <c r="J22" s="36" t="s">
        <v>114</v>
      </c>
      <c r="K22" s="36" t="s">
        <v>115</v>
      </c>
      <c r="L22" s="36" t="s">
        <v>116</v>
      </c>
      <c r="M22" s="36" t="s">
        <v>117</v>
      </c>
    </row>
    <row r="23" spans="1:13">
      <c r="A23" s="36" t="s">
        <v>217</v>
      </c>
      <c r="B23" s="44">
        <f>B20</f>
        <v>48</v>
      </c>
      <c r="C23" s="44">
        <f>B20+B23</f>
        <v>96</v>
      </c>
      <c r="D23" s="44">
        <f t="shared" ref="D23:M23" si="4">C23+$B20</f>
        <v>144</v>
      </c>
      <c r="E23" s="44">
        <f t="shared" si="4"/>
        <v>192</v>
      </c>
      <c r="F23" s="44">
        <f t="shared" si="4"/>
        <v>240</v>
      </c>
      <c r="G23" s="44">
        <f t="shared" si="4"/>
        <v>288</v>
      </c>
      <c r="H23" s="44">
        <f t="shared" si="4"/>
        <v>336</v>
      </c>
      <c r="I23" s="44">
        <f t="shared" si="4"/>
        <v>384</v>
      </c>
      <c r="J23" s="44">
        <f t="shared" si="4"/>
        <v>432</v>
      </c>
      <c r="K23" s="44">
        <f t="shared" si="4"/>
        <v>480</v>
      </c>
      <c r="L23" s="44">
        <f t="shared" si="4"/>
        <v>528</v>
      </c>
      <c r="M23" s="44">
        <f t="shared" si="4"/>
        <v>576</v>
      </c>
    </row>
    <row r="24" spans="1:13">
      <c r="A24" s="36" t="s">
        <v>218</v>
      </c>
      <c r="B24" s="37">
        <f t="shared" ref="B24:M24" si="5">$B19*B23</f>
        <v>4080</v>
      </c>
      <c r="C24" s="37">
        <f t="shared" si="5"/>
        <v>8160</v>
      </c>
      <c r="D24" s="37">
        <f t="shared" si="5"/>
        <v>12240</v>
      </c>
      <c r="E24" s="37">
        <f t="shared" si="5"/>
        <v>16320</v>
      </c>
      <c r="F24" s="37">
        <f t="shared" si="5"/>
        <v>20400</v>
      </c>
      <c r="G24" s="37">
        <f t="shared" si="5"/>
        <v>24480</v>
      </c>
      <c r="H24" s="37">
        <f t="shared" si="5"/>
        <v>28560</v>
      </c>
      <c r="I24" s="37">
        <f t="shared" si="5"/>
        <v>32640</v>
      </c>
      <c r="J24" s="37">
        <f t="shared" si="5"/>
        <v>36720</v>
      </c>
      <c r="K24" s="37">
        <f t="shared" si="5"/>
        <v>40800</v>
      </c>
      <c r="L24" s="37">
        <f t="shared" si="5"/>
        <v>44880</v>
      </c>
      <c r="M24" s="37">
        <f t="shared" si="5"/>
        <v>48960</v>
      </c>
    </row>
    <row r="25" spans="1:13">
      <c r="L25" s="503" t="s">
        <v>119</v>
      </c>
      <c r="M25" s="506">
        <f>SUM(B24:M24)</f>
        <v>318240</v>
      </c>
    </row>
    <row r="27" spans="1:13">
      <c r="B27" s="36" t="s">
        <v>205</v>
      </c>
      <c r="C27" s="36" t="s">
        <v>206</v>
      </c>
      <c r="D27" s="36" t="s">
        <v>207</v>
      </c>
      <c r="E27" s="36" t="s">
        <v>208</v>
      </c>
      <c r="F27" s="36" t="s">
        <v>209</v>
      </c>
      <c r="G27" s="36" t="s">
        <v>210</v>
      </c>
      <c r="H27" s="36" t="s">
        <v>211</v>
      </c>
      <c r="I27" s="36" t="s">
        <v>212</v>
      </c>
      <c r="J27" s="36" t="s">
        <v>213</v>
      </c>
      <c r="K27" s="36" t="s">
        <v>214</v>
      </c>
      <c r="L27" s="36" t="s">
        <v>215</v>
      </c>
      <c r="M27" s="36" t="s">
        <v>216</v>
      </c>
    </row>
    <row r="28" spans="1:13">
      <c r="A28" s="36" t="s">
        <v>217</v>
      </c>
      <c r="B28" s="44">
        <f>M23+B20</f>
        <v>624</v>
      </c>
      <c r="C28" s="44">
        <f>B28+$B20</f>
        <v>672</v>
      </c>
      <c r="D28" s="44">
        <f t="shared" ref="D28:M28" si="6">C28+$B20</f>
        <v>720</v>
      </c>
      <c r="E28" s="44">
        <f t="shared" si="6"/>
        <v>768</v>
      </c>
      <c r="F28" s="44">
        <f t="shared" si="6"/>
        <v>816</v>
      </c>
      <c r="G28" s="44">
        <f t="shared" si="6"/>
        <v>864</v>
      </c>
      <c r="H28" s="44">
        <f t="shared" si="6"/>
        <v>912</v>
      </c>
      <c r="I28" s="44">
        <f t="shared" si="6"/>
        <v>960</v>
      </c>
      <c r="J28" s="44">
        <f t="shared" si="6"/>
        <v>1008</v>
      </c>
      <c r="K28" s="44">
        <f t="shared" si="6"/>
        <v>1056</v>
      </c>
      <c r="L28" s="44">
        <f t="shared" si="6"/>
        <v>1104</v>
      </c>
      <c r="M28" s="44">
        <f t="shared" si="6"/>
        <v>1152</v>
      </c>
    </row>
    <row r="29" spans="1:13">
      <c r="A29" s="36" t="s">
        <v>118</v>
      </c>
      <c r="B29" s="37">
        <f>$B19*B28</f>
        <v>53040</v>
      </c>
      <c r="C29" s="37">
        <f t="shared" ref="C29:M29" si="7">$B19*C28</f>
        <v>57120</v>
      </c>
      <c r="D29" s="37">
        <f t="shared" si="7"/>
        <v>61200</v>
      </c>
      <c r="E29" s="37">
        <f t="shared" si="7"/>
        <v>65280</v>
      </c>
      <c r="F29" s="37">
        <f t="shared" si="7"/>
        <v>69360</v>
      </c>
      <c r="G29" s="37">
        <f t="shared" si="7"/>
        <v>73440</v>
      </c>
      <c r="H29" s="37">
        <f t="shared" si="7"/>
        <v>77520</v>
      </c>
      <c r="I29" s="37">
        <f t="shared" si="7"/>
        <v>81600</v>
      </c>
      <c r="J29" s="37">
        <f t="shared" si="7"/>
        <v>85680</v>
      </c>
      <c r="K29" s="37">
        <f t="shared" si="7"/>
        <v>89760</v>
      </c>
      <c r="L29" s="37">
        <f t="shared" si="7"/>
        <v>93840</v>
      </c>
      <c r="M29" s="37">
        <f t="shared" si="7"/>
        <v>97920</v>
      </c>
    </row>
    <row r="30" spans="1:13">
      <c r="L30" s="503" t="s">
        <v>220</v>
      </c>
      <c r="M30" s="506">
        <f>SUM(B29:M29)</f>
        <v>905760</v>
      </c>
    </row>
  </sheetData>
  <phoneticPr fontId="46" type="noConversion"/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62D7-849A-44BB-8DF6-7F855552D987}">
  <sheetPr>
    <tabColor rgb="FFFFC000"/>
  </sheetPr>
  <dimension ref="A1:N381"/>
  <sheetViews>
    <sheetView workbookViewId="0">
      <selection activeCell="C9" sqref="C9"/>
    </sheetView>
  </sheetViews>
  <sheetFormatPr defaultRowHeight="15"/>
  <cols>
    <col min="2" max="2" width="19.85546875" bestFit="1" customWidth="1"/>
    <col min="3" max="3" width="14.5703125" bestFit="1" customWidth="1"/>
    <col min="4" max="4" width="15.5703125" customWidth="1"/>
    <col min="6" max="6" width="16" customWidth="1"/>
    <col min="7" max="7" width="12.7109375" bestFit="1" customWidth="1"/>
    <col min="9" max="9" width="24.85546875" bestFit="1" customWidth="1"/>
    <col min="11" max="11" width="10.140625" bestFit="1" customWidth="1"/>
  </cols>
  <sheetData>
    <row r="1" spans="1:7" ht="23.25">
      <c r="A1" s="3" t="s">
        <v>63</v>
      </c>
      <c r="B1" s="4"/>
      <c r="C1" s="4"/>
      <c r="D1" s="4"/>
      <c r="E1" s="4"/>
      <c r="F1" s="4"/>
      <c r="G1" s="4"/>
    </row>
    <row r="5" spans="1:7" ht="23.25">
      <c r="A5" s="3" t="s">
        <v>64</v>
      </c>
      <c r="B5" s="4"/>
      <c r="C5" s="4"/>
      <c r="D5" s="4"/>
      <c r="E5" s="4"/>
      <c r="F5" s="4"/>
      <c r="G5" s="4"/>
    </row>
    <row r="6" spans="1:7">
      <c r="A6" s="5" t="s">
        <v>65</v>
      </c>
      <c r="B6" s="6"/>
      <c r="C6" s="7"/>
      <c r="E6" s="5" t="s">
        <v>66</v>
      </c>
      <c r="F6" s="4"/>
      <c r="G6" s="4"/>
    </row>
    <row r="7" spans="1:7">
      <c r="B7" s="8" t="s">
        <v>67</v>
      </c>
      <c r="C7" s="9">
        <f>'CC - Cash Flow Projections'!C37</f>
        <v>114056040.37816936</v>
      </c>
      <c r="F7" s="8" t="s">
        <v>68</v>
      </c>
      <c r="G7" s="10"/>
    </row>
    <row r="8" spans="1:7">
      <c r="B8" s="8" t="s">
        <v>69</v>
      </c>
      <c r="C8" s="11">
        <f>'CC - Cash Flow Projections'!C40</f>
        <v>4.2500000000000003E-2</v>
      </c>
      <c r="F8" s="8" t="s">
        <v>70</v>
      </c>
      <c r="G8" s="12">
        <v>1</v>
      </c>
    </row>
    <row r="9" spans="1:7">
      <c r="B9" s="8" t="s">
        <v>71</v>
      </c>
      <c r="C9" s="12">
        <v>30</v>
      </c>
    </row>
    <row r="10" spans="1:7">
      <c r="B10" s="8" t="s">
        <v>72</v>
      </c>
      <c r="C10" s="12">
        <v>12</v>
      </c>
    </row>
    <row r="11" spans="1:7">
      <c r="B11" s="8" t="s">
        <v>73</v>
      </c>
      <c r="C11" s="10">
        <v>41426</v>
      </c>
    </row>
    <row r="12" spans="1:7">
      <c r="A12" s="5" t="s">
        <v>74</v>
      </c>
      <c r="B12" s="4"/>
      <c r="C12" s="4"/>
      <c r="D12" s="4"/>
      <c r="E12" s="4"/>
      <c r="F12" s="4"/>
      <c r="G12" s="4"/>
    </row>
    <row r="13" spans="1:7">
      <c r="B13" s="8" t="s">
        <v>75</v>
      </c>
      <c r="C13" s="13"/>
      <c r="D13" s="14" t="s">
        <v>76</v>
      </c>
    </row>
    <row r="14" spans="1:7">
      <c r="B14" s="8" t="s">
        <v>77</v>
      </c>
      <c r="C14" s="13">
        <f>PMT(Periodic_rate,Total_payments,-Loan_amount)</f>
        <v>561087.16080593818</v>
      </c>
      <c r="D14" s="14" t="s">
        <v>78</v>
      </c>
    </row>
    <row r="15" spans="1:7">
      <c r="A15" s="5" t="s">
        <v>79</v>
      </c>
      <c r="B15" s="4"/>
      <c r="C15" s="4"/>
      <c r="D15" s="4"/>
      <c r="E15" s="4"/>
      <c r="F15" s="4"/>
      <c r="G15" s="4"/>
    </row>
    <row r="16" spans="1:7">
      <c r="B16" s="8" t="s">
        <v>80</v>
      </c>
      <c r="C16" s="15">
        <f>IF(Entered_payment=0,Calculated_payment,Entered_payment)</f>
        <v>561087.16080593818</v>
      </c>
      <c r="F16" s="8" t="str">
        <f>"Beginning balance at payment "&amp;TEXT(First_payment_no,"0")&amp;":"</f>
        <v>Beginning balance at payment 1:</v>
      </c>
      <c r="G16" s="16">
        <f>FV(Annual_interest_rate/Payments_per_year,First_payment_no-1,Pmt_to_use,-Loan_amount)</f>
        <v>114056040.37816936</v>
      </c>
    </row>
    <row r="17" spans="1:10">
      <c r="B17" s="8" t="s">
        <v>81</v>
      </c>
      <c r="C17" s="17">
        <f>IF(G7=0,IF(G8=0,1,G8),1+C10*(YEAR(G7)-YEAR(C11))+INT(C10*(MONTH(G7)-MONTH(C11))/12)+IF(DAY(G7)&gt;DAY(C11),1))</f>
        <v>1</v>
      </c>
      <c r="F17" s="8" t="str">
        <f>"Cumulative interest prior to payment "&amp;TEXT(First_payment_no,"0")&amp;":"</f>
        <v>Cumulative interest prior to payment 1:</v>
      </c>
      <c r="G17" s="16">
        <f>Pmt_to_use*(First_payment_no-1)-(Loan_amount-Table_beg_bal)</f>
        <v>0</v>
      </c>
    </row>
    <row r="18" spans="1:10" ht="23.25">
      <c r="A18" s="3" t="s">
        <v>82</v>
      </c>
      <c r="B18" s="4"/>
      <c r="C18" s="4"/>
      <c r="D18" s="4"/>
      <c r="E18" s="4"/>
      <c r="F18" s="4"/>
      <c r="G18" s="4"/>
    </row>
    <row r="20" spans="1:10">
      <c r="A20" s="18"/>
      <c r="B20" s="18" t="s">
        <v>83</v>
      </c>
      <c r="C20" s="18" t="s">
        <v>84</v>
      </c>
      <c r="D20" s="18"/>
      <c r="E20" s="18"/>
      <c r="F20" s="18" t="s">
        <v>85</v>
      </c>
      <c r="G20" s="18" t="s">
        <v>86</v>
      </c>
      <c r="H20" t="s">
        <v>87</v>
      </c>
    </row>
    <row r="21" spans="1:10">
      <c r="A21" s="19" t="s">
        <v>88</v>
      </c>
      <c r="B21" s="19" t="s">
        <v>89</v>
      </c>
      <c r="C21" s="19" t="s">
        <v>90</v>
      </c>
      <c r="D21" s="19" t="s">
        <v>91</v>
      </c>
      <c r="E21" s="19" t="s">
        <v>92</v>
      </c>
      <c r="F21" s="19" t="s">
        <v>90</v>
      </c>
      <c r="G21" s="19" t="s">
        <v>91</v>
      </c>
    </row>
    <row r="22" spans="1:10">
      <c r="A22" s="20">
        <f>IF(First_payment_no&lt;Total_payments,First_payment_no,"")</f>
        <v>1</v>
      </c>
      <c r="B22" s="21">
        <f t="shared" ref="B22:B85" si="0">Show.Date</f>
        <v>41426</v>
      </c>
      <c r="C22" s="22">
        <f>IF(A22&lt;&gt;"",IF(Table_beg_bal&lt;0,0,Table_beg_bal),"")</f>
        <v>114056040.37816936</v>
      </c>
      <c r="D22" s="22">
        <f t="shared" ref="D22:D85" si="1">Interest</f>
        <v>403948.47633934981</v>
      </c>
      <c r="E22" s="22">
        <f t="shared" ref="E22:E85" si="2">Principal+H22</f>
        <v>157138.68446658837</v>
      </c>
      <c r="F22" s="22">
        <f t="shared" ref="F22:F85" si="3">Ending.Balance</f>
        <v>113898901.69370277</v>
      </c>
      <c r="G22" s="22">
        <f>IF(A22&lt;&gt;"",D22+Table_prior_interest,"")</f>
        <v>403948.47633934981</v>
      </c>
      <c r="H22">
        <v>0</v>
      </c>
    </row>
    <row r="23" spans="1:10">
      <c r="A23" s="23">
        <f t="shared" ref="A23:A86" si="4">payment.Num</f>
        <v>2</v>
      </c>
      <c r="B23" s="24">
        <f t="shared" si="0"/>
        <v>41456</v>
      </c>
      <c r="C23" s="25">
        <f t="shared" ref="C23:C86" si="5">Beg.Bal</f>
        <v>113898901.69370277</v>
      </c>
      <c r="D23" s="25">
        <f t="shared" si="1"/>
        <v>403391.94349853066</v>
      </c>
      <c r="E23" s="22">
        <f t="shared" si="2"/>
        <v>157695.21730740753</v>
      </c>
      <c r="F23" s="25">
        <f t="shared" si="3"/>
        <v>113741206.47639537</v>
      </c>
      <c r="G23" s="25">
        <f t="shared" ref="G23:G86" si="6">Cum.Interest</f>
        <v>807340.41983788041</v>
      </c>
      <c r="H23">
        <v>0</v>
      </c>
    </row>
    <row r="24" spans="1:10">
      <c r="A24" s="26">
        <f t="shared" si="4"/>
        <v>3</v>
      </c>
      <c r="B24" s="27">
        <f t="shared" si="0"/>
        <v>41487</v>
      </c>
      <c r="C24" s="28">
        <f t="shared" si="5"/>
        <v>113741206.47639537</v>
      </c>
      <c r="D24" s="28">
        <f t="shared" si="1"/>
        <v>402833.4396039003</v>
      </c>
      <c r="E24" s="22">
        <f t="shared" si="2"/>
        <v>158253.72120203788</v>
      </c>
      <c r="F24" s="28">
        <f t="shared" si="3"/>
        <v>113582952.75519334</v>
      </c>
      <c r="G24" s="28">
        <f t="shared" si="6"/>
        <v>1210173.8594417807</v>
      </c>
      <c r="H24">
        <v>0</v>
      </c>
    </row>
    <row r="25" spans="1:10">
      <c r="A25" s="20">
        <f t="shared" si="4"/>
        <v>4</v>
      </c>
      <c r="B25" s="21">
        <f t="shared" si="0"/>
        <v>41518</v>
      </c>
      <c r="C25" s="22">
        <f t="shared" si="5"/>
        <v>113582952.75519334</v>
      </c>
      <c r="D25" s="22">
        <f t="shared" si="1"/>
        <v>402272.95767464308</v>
      </c>
      <c r="E25" s="22">
        <f t="shared" si="2"/>
        <v>158814.2031312951</v>
      </c>
      <c r="F25" s="22">
        <f t="shared" si="3"/>
        <v>113424138.55206205</v>
      </c>
      <c r="G25" s="22">
        <f t="shared" si="6"/>
        <v>1612446.8171164237</v>
      </c>
      <c r="H25">
        <v>0</v>
      </c>
      <c r="I25" t="s">
        <v>93</v>
      </c>
    </row>
    <row r="26" spans="1:10">
      <c r="A26" s="23">
        <f t="shared" si="4"/>
        <v>5</v>
      </c>
      <c r="B26" s="24">
        <f t="shared" si="0"/>
        <v>41548</v>
      </c>
      <c r="C26" s="25">
        <f t="shared" si="5"/>
        <v>113424138.55206205</v>
      </c>
      <c r="D26" s="25">
        <f t="shared" si="1"/>
        <v>401710.4907052198</v>
      </c>
      <c r="E26" s="22">
        <f t="shared" si="2"/>
        <v>159376.67010071839</v>
      </c>
      <c r="F26" s="25">
        <f t="shared" si="3"/>
        <v>113264761.88196133</v>
      </c>
      <c r="G26" s="25">
        <f t="shared" si="6"/>
        <v>2014157.3078216435</v>
      </c>
      <c r="H26">
        <v>0</v>
      </c>
      <c r="I26" s="29">
        <f>Calculated_payment*12</f>
        <v>6733045.9296712577</v>
      </c>
    </row>
    <row r="27" spans="1:10">
      <c r="A27" s="26">
        <f t="shared" si="4"/>
        <v>6</v>
      </c>
      <c r="B27" s="27">
        <f t="shared" si="0"/>
        <v>41579</v>
      </c>
      <c r="C27" s="28">
        <f t="shared" si="5"/>
        <v>113264761.88196133</v>
      </c>
      <c r="D27" s="28">
        <f t="shared" si="1"/>
        <v>401146.03166527976</v>
      </c>
      <c r="E27" s="22">
        <f t="shared" si="2"/>
        <v>159941.12914065842</v>
      </c>
      <c r="F27" s="28">
        <f t="shared" si="3"/>
        <v>113104820.75282067</v>
      </c>
      <c r="G27" s="28">
        <f t="shared" si="6"/>
        <v>2415303.3394869231</v>
      </c>
      <c r="H27">
        <v>0</v>
      </c>
      <c r="I27" s="29"/>
    </row>
    <row r="28" spans="1:10">
      <c r="A28" s="20">
        <f t="shared" si="4"/>
        <v>7</v>
      </c>
      <c r="B28" s="21">
        <f t="shared" si="0"/>
        <v>41609</v>
      </c>
      <c r="C28" s="22">
        <f t="shared" si="5"/>
        <v>113104820.75282067</v>
      </c>
      <c r="D28" s="22">
        <f t="shared" si="1"/>
        <v>400579.57349957322</v>
      </c>
      <c r="E28" s="22">
        <f t="shared" si="2"/>
        <v>160507.58730636496</v>
      </c>
      <c r="F28" s="22">
        <f t="shared" si="3"/>
        <v>112944313.16551431</v>
      </c>
      <c r="G28" s="22">
        <f t="shared" si="6"/>
        <v>2815882.9129864965</v>
      </c>
      <c r="H28">
        <v>0</v>
      </c>
      <c r="I28" s="29" t="s">
        <v>94</v>
      </c>
    </row>
    <row r="29" spans="1:10">
      <c r="A29" s="23">
        <f t="shared" si="4"/>
        <v>8</v>
      </c>
      <c r="B29" s="24">
        <f t="shared" si="0"/>
        <v>41640</v>
      </c>
      <c r="C29" s="25">
        <f t="shared" si="5"/>
        <v>112944313.16551431</v>
      </c>
      <c r="D29" s="25">
        <f t="shared" si="1"/>
        <v>400011.10912786319</v>
      </c>
      <c r="E29" s="22">
        <f t="shared" si="2"/>
        <v>161076.05167807499</v>
      </c>
      <c r="F29" s="25">
        <f t="shared" si="3"/>
        <v>112783237.11383623</v>
      </c>
      <c r="G29" s="25">
        <f t="shared" si="6"/>
        <v>3215894.0221143598</v>
      </c>
      <c r="H29">
        <v>0</v>
      </c>
      <c r="I29" s="29">
        <f>SUM(D22:D33)</f>
        <v>4810213.4415736077</v>
      </c>
      <c r="J29" s="35"/>
    </row>
    <row r="30" spans="1:10">
      <c r="A30" s="26">
        <f t="shared" si="4"/>
        <v>9</v>
      </c>
      <c r="B30" s="27">
        <f t="shared" si="0"/>
        <v>41671</v>
      </c>
      <c r="C30" s="28">
        <f t="shared" si="5"/>
        <v>112783237.11383623</v>
      </c>
      <c r="D30" s="28">
        <f t="shared" si="1"/>
        <v>399440.63144483668</v>
      </c>
      <c r="E30" s="22">
        <f t="shared" si="2"/>
        <v>161646.52936110151</v>
      </c>
      <c r="F30" s="28">
        <f t="shared" si="3"/>
        <v>112621590.58447513</v>
      </c>
      <c r="G30" s="28">
        <f t="shared" si="6"/>
        <v>3615334.6535591963</v>
      </c>
      <c r="H30">
        <v>0</v>
      </c>
      <c r="I30" s="29"/>
    </row>
    <row r="31" spans="1:10">
      <c r="A31" s="20">
        <f t="shared" si="4"/>
        <v>10</v>
      </c>
      <c r="B31" s="21">
        <f t="shared" si="0"/>
        <v>41699</v>
      </c>
      <c r="C31" s="22">
        <f t="shared" si="5"/>
        <v>112621590.58447513</v>
      </c>
      <c r="D31" s="22">
        <f t="shared" si="1"/>
        <v>398868.13332001609</v>
      </c>
      <c r="E31" s="22">
        <f t="shared" si="2"/>
        <v>162219.0274859221</v>
      </c>
      <c r="F31" s="22">
        <f t="shared" si="3"/>
        <v>112459371.55698921</v>
      </c>
      <c r="G31" s="22">
        <f t="shared" si="6"/>
        <v>4014202.7868792126</v>
      </c>
      <c r="H31">
        <v>0</v>
      </c>
      <c r="I31" s="29" t="s">
        <v>95</v>
      </c>
    </row>
    <row r="32" spans="1:10">
      <c r="A32" s="20">
        <f t="shared" si="4"/>
        <v>11</v>
      </c>
      <c r="B32" s="21">
        <f t="shared" si="0"/>
        <v>41730</v>
      </c>
      <c r="C32" s="22">
        <f t="shared" si="5"/>
        <v>112459371.55698921</v>
      </c>
      <c r="D32" s="22">
        <f t="shared" si="1"/>
        <v>398293.60759767017</v>
      </c>
      <c r="E32" s="22">
        <f t="shared" si="2"/>
        <v>162793.55320826801</v>
      </c>
      <c r="F32" s="22">
        <f t="shared" si="3"/>
        <v>112296578.00378095</v>
      </c>
      <c r="G32" s="22">
        <f t="shared" si="6"/>
        <v>4412496.3944768831</v>
      </c>
      <c r="H32">
        <v>0</v>
      </c>
      <c r="I32" s="29">
        <f>SUM(E22:E33)</f>
        <v>1922832.4880976514</v>
      </c>
      <c r="J32">
        <v>12</v>
      </c>
    </row>
    <row r="33" spans="1:11">
      <c r="A33" s="20">
        <f t="shared" si="4"/>
        <v>12</v>
      </c>
      <c r="B33" s="21">
        <f t="shared" si="0"/>
        <v>41760</v>
      </c>
      <c r="C33" s="22">
        <f t="shared" si="5"/>
        <v>112296578.00378095</v>
      </c>
      <c r="D33" s="22">
        <f t="shared" si="1"/>
        <v>397717.04709672421</v>
      </c>
      <c r="E33" s="22">
        <f t="shared" si="2"/>
        <v>163370.11370921397</v>
      </c>
      <c r="F33" s="22">
        <f t="shared" si="3"/>
        <v>112133207.89007173</v>
      </c>
      <c r="G33" s="22">
        <f t="shared" si="6"/>
        <v>4810213.4415736077</v>
      </c>
      <c r="H33">
        <v>0</v>
      </c>
      <c r="I33" s="29">
        <f>SUM(E34:E45)</f>
        <v>2006163.6569777387</v>
      </c>
      <c r="J33" t="s">
        <v>96</v>
      </c>
    </row>
    <row r="34" spans="1:11">
      <c r="A34" s="20">
        <f t="shared" si="4"/>
        <v>13</v>
      </c>
      <c r="B34" s="21">
        <f t="shared" si="0"/>
        <v>41791</v>
      </c>
      <c r="C34" s="22">
        <f t="shared" si="5"/>
        <v>112133207.89007173</v>
      </c>
      <c r="D34" s="22">
        <f t="shared" si="1"/>
        <v>397138.44461067073</v>
      </c>
      <c r="E34" s="22">
        <f t="shared" si="2"/>
        <v>163948.71619526745</v>
      </c>
      <c r="F34" s="22">
        <f t="shared" si="3"/>
        <v>111969259.17387646</v>
      </c>
      <c r="G34" s="22">
        <f t="shared" si="6"/>
        <v>5207351.8861842789</v>
      </c>
      <c r="H34">
        <v>0</v>
      </c>
      <c r="I34" s="29">
        <f>SUM(E46:E57)</f>
        <v>2093106.2084145013</v>
      </c>
      <c r="J34" t="s">
        <v>97</v>
      </c>
    </row>
    <row r="35" spans="1:11">
      <c r="A35" s="20">
        <f t="shared" si="4"/>
        <v>14</v>
      </c>
      <c r="B35" s="21">
        <f t="shared" si="0"/>
        <v>41821</v>
      </c>
      <c r="C35" s="22">
        <f t="shared" si="5"/>
        <v>111969259.17387646</v>
      </c>
      <c r="D35" s="22">
        <f t="shared" si="1"/>
        <v>396557.79290747916</v>
      </c>
      <c r="E35" s="22">
        <f t="shared" si="2"/>
        <v>164529.36789845902</v>
      </c>
      <c r="F35" s="22">
        <f t="shared" si="3"/>
        <v>111804729.805978</v>
      </c>
      <c r="G35" s="22">
        <f t="shared" si="6"/>
        <v>5603909.6790917581</v>
      </c>
      <c r="H35">
        <v>0</v>
      </c>
      <c r="I35" s="29">
        <f>SUM(E58:E69)</f>
        <v>2183816.6514806636</v>
      </c>
      <c r="J35" t="s">
        <v>98</v>
      </c>
    </row>
    <row r="36" spans="1:11">
      <c r="A36" s="20">
        <f t="shared" si="4"/>
        <v>15</v>
      </c>
      <c r="B36" s="21">
        <f t="shared" si="0"/>
        <v>41852</v>
      </c>
      <c r="C36" s="22">
        <f t="shared" si="5"/>
        <v>111804729.805978</v>
      </c>
      <c r="D36" s="22">
        <f t="shared" si="1"/>
        <v>395975.08472950547</v>
      </c>
      <c r="E36" s="22">
        <f t="shared" si="2"/>
        <v>165112.07607643271</v>
      </c>
      <c r="F36" s="22">
        <f t="shared" si="3"/>
        <v>111639617.72990157</v>
      </c>
      <c r="G36" s="22">
        <f t="shared" si="6"/>
        <v>5999884.7638212638</v>
      </c>
      <c r="H36">
        <v>0</v>
      </c>
      <c r="I36" s="29">
        <f>SUM(E70:E81)</f>
        <v>2278458.2779947473</v>
      </c>
      <c r="J36" t="s">
        <v>99</v>
      </c>
    </row>
    <row r="37" spans="1:11">
      <c r="A37" s="20">
        <f t="shared" si="4"/>
        <v>16</v>
      </c>
      <c r="B37" s="21">
        <f t="shared" si="0"/>
        <v>41883</v>
      </c>
      <c r="C37" s="22">
        <f t="shared" si="5"/>
        <v>111639617.72990157</v>
      </c>
      <c r="D37" s="22">
        <f t="shared" si="1"/>
        <v>395390.31279340142</v>
      </c>
      <c r="E37" s="22">
        <f t="shared" si="2"/>
        <v>165696.84801253676</v>
      </c>
      <c r="F37" s="22">
        <f t="shared" si="3"/>
        <v>111473920.88188903</v>
      </c>
      <c r="G37" s="22">
        <f t="shared" si="6"/>
        <v>6395275.0766146649</v>
      </c>
      <c r="H37">
        <v>0</v>
      </c>
      <c r="I37" s="29">
        <f>SUM(E82:E93)</f>
        <v>2377201.4564697789</v>
      </c>
      <c r="J37" t="s">
        <v>100</v>
      </c>
    </row>
    <row r="38" spans="1:11">
      <c r="A38" s="20">
        <f t="shared" si="4"/>
        <v>17</v>
      </c>
      <c r="B38" s="21">
        <f t="shared" si="0"/>
        <v>41913</v>
      </c>
      <c r="C38" s="22">
        <f t="shared" si="5"/>
        <v>111473920.88188903</v>
      </c>
      <c r="D38" s="22">
        <f t="shared" si="1"/>
        <v>394803.46979002369</v>
      </c>
      <c r="E38" s="22">
        <f t="shared" si="2"/>
        <v>166283.69101591449</v>
      </c>
      <c r="F38" s="22">
        <f t="shared" si="3"/>
        <v>111307637.19087312</v>
      </c>
      <c r="G38" s="22">
        <f t="shared" si="6"/>
        <v>6790078.5464046886</v>
      </c>
      <c r="H38">
        <v>0</v>
      </c>
    </row>
    <row r="39" spans="1:11">
      <c r="A39" s="20">
        <f t="shared" si="4"/>
        <v>18</v>
      </c>
      <c r="B39" s="21">
        <f t="shared" si="0"/>
        <v>41944</v>
      </c>
      <c r="C39" s="22">
        <f t="shared" si="5"/>
        <v>111307637.19087312</v>
      </c>
      <c r="D39" s="22">
        <f t="shared" si="1"/>
        <v>394214.54838434234</v>
      </c>
      <c r="E39" s="22">
        <f t="shared" si="2"/>
        <v>166872.61242159584</v>
      </c>
      <c r="F39" s="22">
        <f t="shared" si="3"/>
        <v>111140764.57845151</v>
      </c>
      <c r="G39" s="22">
        <f t="shared" si="6"/>
        <v>7184293.094789031</v>
      </c>
      <c r="H39">
        <v>0</v>
      </c>
    </row>
    <row r="40" spans="1:11">
      <c r="A40" s="20">
        <f t="shared" si="4"/>
        <v>19</v>
      </c>
      <c r="B40" s="21">
        <f t="shared" si="0"/>
        <v>41974</v>
      </c>
      <c r="C40" s="22">
        <f t="shared" si="5"/>
        <v>111140764.57845151</v>
      </c>
      <c r="D40" s="22">
        <f t="shared" si="1"/>
        <v>393623.54121534916</v>
      </c>
      <c r="E40" s="22">
        <f t="shared" si="2"/>
        <v>167463.61959058902</v>
      </c>
      <c r="F40" s="22">
        <f t="shared" si="3"/>
        <v>110973300.95886092</v>
      </c>
      <c r="G40" s="22">
        <f t="shared" si="6"/>
        <v>7577916.63600438</v>
      </c>
      <c r="H40">
        <v>0</v>
      </c>
    </row>
    <row r="41" spans="1:11">
      <c r="A41" s="20">
        <f t="shared" si="4"/>
        <v>20</v>
      </c>
      <c r="B41" s="21">
        <f t="shared" si="0"/>
        <v>42005</v>
      </c>
      <c r="C41" s="22">
        <f t="shared" si="5"/>
        <v>110973300.95886092</v>
      </c>
      <c r="D41" s="22">
        <f t="shared" si="1"/>
        <v>393030.44089596579</v>
      </c>
      <c r="E41" s="22">
        <f t="shared" si="2"/>
        <v>168056.71990997239</v>
      </c>
      <c r="F41" s="22">
        <f t="shared" si="3"/>
        <v>110805244.23895095</v>
      </c>
      <c r="G41" s="22">
        <f t="shared" si="6"/>
        <v>7970947.0769003462</v>
      </c>
      <c r="H41">
        <v>0</v>
      </c>
    </row>
    <row r="42" spans="1:11">
      <c r="A42" s="20">
        <f t="shared" si="4"/>
        <v>21</v>
      </c>
      <c r="B42" s="21">
        <f t="shared" si="0"/>
        <v>42036</v>
      </c>
      <c r="C42" s="22">
        <f t="shared" si="5"/>
        <v>110805244.23895095</v>
      </c>
      <c r="D42" s="22">
        <f t="shared" si="1"/>
        <v>392435.24001295131</v>
      </c>
      <c r="E42" s="22">
        <f t="shared" si="2"/>
        <v>168651.92079298687</v>
      </c>
      <c r="F42" s="22">
        <f t="shared" si="3"/>
        <v>110636592.31815797</v>
      </c>
      <c r="G42" s="22">
        <f t="shared" si="6"/>
        <v>8363382.3169132974</v>
      </c>
      <c r="H42">
        <v>0</v>
      </c>
    </row>
    <row r="43" spans="1:11">
      <c r="A43" s="20">
        <f t="shared" si="4"/>
        <v>22</v>
      </c>
      <c r="B43" s="21">
        <f t="shared" si="0"/>
        <v>42064</v>
      </c>
      <c r="C43" s="22">
        <f t="shared" si="5"/>
        <v>110636592.31815797</v>
      </c>
      <c r="D43" s="22">
        <f t="shared" si="1"/>
        <v>391837.9311268095</v>
      </c>
      <c r="E43" s="22">
        <f t="shared" si="2"/>
        <v>169249.22967912868</v>
      </c>
      <c r="F43" s="22">
        <f t="shared" si="3"/>
        <v>110467343.08847885</v>
      </c>
      <c r="G43" s="22">
        <f t="shared" si="6"/>
        <v>8755220.2480401061</v>
      </c>
      <c r="H43">
        <v>0</v>
      </c>
    </row>
    <row r="44" spans="1:11">
      <c r="A44" s="20">
        <f t="shared" si="4"/>
        <v>23</v>
      </c>
      <c r="B44" s="21">
        <f t="shared" si="0"/>
        <v>42095</v>
      </c>
      <c r="C44" s="22">
        <f t="shared" si="5"/>
        <v>110467343.08847885</v>
      </c>
      <c r="D44" s="22">
        <f t="shared" si="1"/>
        <v>391238.50677169597</v>
      </c>
      <c r="E44" s="22">
        <f t="shared" si="2"/>
        <v>169848.65403424221</v>
      </c>
      <c r="F44" s="22">
        <f t="shared" si="3"/>
        <v>110297494.43444461</v>
      </c>
      <c r="G44" s="22">
        <f t="shared" si="6"/>
        <v>9146458.7548118029</v>
      </c>
      <c r="H44">
        <v>0</v>
      </c>
    </row>
    <row r="45" spans="1:11">
      <c r="A45" s="20">
        <f t="shared" si="4"/>
        <v>24</v>
      </c>
      <c r="B45" s="21">
        <f t="shared" si="0"/>
        <v>42125</v>
      </c>
      <c r="C45" s="22">
        <f t="shared" si="5"/>
        <v>110297494.43444461</v>
      </c>
      <c r="D45" s="22">
        <f t="shared" si="1"/>
        <v>390636.95945532469</v>
      </c>
      <c r="E45" s="22">
        <f t="shared" si="2"/>
        <v>170450.2013506135</v>
      </c>
      <c r="F45" s="22">
        <f t="shared" si="3"/>
        <v>110127044.23309399</v>
      </c>
      <c r="G45" s="22">
        <f t="shared" si="6"/>
        <v>9537095.7142671272</v>
      </c>
      <c r="H45">
        <v>0</v>
      </c>
    </row>
    <row r="46" spans="1:11">
      <c r="A46" s="20">
        <f t="shared" si="4"/>
        <v>25</v>
      </c>
      <c r="B46" s="21">
        <f t="shared" si="0"/>
        <v>42156</v>
      </c>
      <c r="C46" s="22">
        <f t="shared" si="5"/>
        <v>110127044.23309399</v>
      </c>
      <c r="D46" s="22">
        <f t="shared" si="1"/>
        <v>390033.28165887459</v>
      </c>
      <c r="E46" s="22">
        <f t="shared" si="2"/>
        <v>171053.87914706359</v>
      </c>
      <c r="F46" s="22">
        <f t="shared" si="3"/>
        <v>109955990.35394692</v>
      </c>
      <c r="G46" s="22">
        <f t="shared" si="6"/>
        <v>9927128.995926002</v>
      </c>
      <c r="H46">
        <v>0</v>
      </c>
    </row>
    <row r="47" spans="1:11">
      <c r="A47" s="20">
        <f t="shared" si="4"/>
        <v>26</v>
      </c>
      <c r="B47" s="21">
        <f t="shared" si="0"/>
        <v>42186</v>
      </c>
      <c r="C47" s="22">
        <f t="shared" si="5"/>
        <v>109955990.35394692</v>
      </c>
      <c r="D47" s="22">
        <f t="shared" si="1"/>
        <v>389427.4658368954</v>
      </c>
      <c r="E47" s="22">
        <f t="shared" si="2"/>
        <v>171659.69496904279</v>
      </c>
      <c r="F47" s="22">
        <f t="shared" si="3"/>
        <v>109784330.65897788</v>
      </c>
      <c r="G47" s="22">
        <f t="shared" si="6"/>
        <v>10316556.461762898</v>
      </c>
      <c r="K47" s="30">
        <f>SUM(E39:E50)</f>
        <v>2041942.0057331389</v>
      </c>
    </row>
    <row r="48" spans="1:11">
      <c r="A48" s="20">
        <f t="shared" si="4"/>
        <v>27</v>
      </c>
      <c r="B48" s="21">
        <f t="shared" si="0"/>
        <v>42217</v>
      </c>
      <c r="C48" s="22">
        <f t="shared" si="5"/>
        <v>109784330.65897788</v>
      </c>
      <c r="D48" s="22">
        <f t="shared" si="1"/>
        <v>388819.50441721338</v>
      </c>
      <c r="E48" s="22">
        <f t="shared" si="2"/>
        <v>172267.6563887248</v>
      </c>
      <c r="F48" s="22">
        <f t="shared" si="3"/>
        <v>109612063.00258915</v>
      </c>
      <c r="G48" s="22">
        <f t="shared" si="6"/>
        <v>10705375.96618011</v>
      </c>
      <c r="K48" s="30">
        <f>SUM(E22:E50)</f>
        <v>4790345.1930294009</v>
      </c>
    </row>
    <row r="49" spans="1:7">
      <c r="A49" s="20">
        <f t="shared" si="4"/>
        <v>28</v>
      </c>
      <c r="B49" s="21">
        <f t="shared" si="0"/>
        <v>42248</v>
      </c>
      <c r="C49" s="22">
        <f t="shared" si="5"/>
        <v>109612063.00258915</v>
      </c>
      <c r="D49" s="22">
        <f t="shared" si="1"/>
        <v>388209.38980083662</v>
      </c>
      <c r="E49" s="22">
        <f t="shared" si="2"/>
        <v>172877.77100510156</v>
      </c>
      <c r="F49" s="22">
        <f t="shared" si="3"/>
        <v>109439185.23158404</v>
      </c>
      <c r="G49" s="22">
        <f t="shared" si="6"/>
        <v>11093585.355980948</v>
      </c>
    </row>
    <row r="50" spans="1:7">
      <c r="A50" s="20">
        <f t="shared" si="4"/>
        <v>29</v>
      </c>
      <c r="B50" s="21">
        <f t="shared" si="0"/>
        <v>42278</v>
      </c>
      <c r="C50" s="22">
        <f t="shared" si="5"/>
        <v>109439185.23158404</v>
      </c>
      <c r="D50" s="22">
        <f t="shared" si="1"/>
        <v>387597.11436186015</v>
      </c>
      <c r="E50" s="22">
        <f t="shared" si="2"/>
        <v>173490.04644407803</v>
      </c>
      <c r="F50" s="22">
        <f t="shared" si="3"/>
        <v>109265695.18513997</v>
      </c>
      <c r="G50" s="22">
        <f t="shared" si="6"/>
        <v>11481182.470342807</v>
      </c>
    </row>
    <row r="51" spans="1:7">
      <c r="A51" s="20">
        <f t="shared" si="4"/>
        <v>30</v>
      </c>
      <c r="B51" s="21">
        <f t="shared" si="0"/>
        <v>42309</v>
      </c>
      <c r="C51" s="22">
        <f t="shared" si="5"/>
        <v>109265695.18513997</v>
      </c>
      <c r="D51" s="22">
        <f t="shared" si="1"/>
        <v>386982.67044737074</v>
      </c>
      <c r="E51" s="22">
        <f t="shared" si="2"/>
        <v>174104.49035856745</v>
      </c>
      <c r="F51" s="22">
        <f t="shared" si="3"/>
        <v>109091590.69478141</v>
      </c>
      <c r="G51" s="22">
        <f t="shared" si="6"/>
        <v>11868165.140790178</v>
      </c>
    </row>
    <row r="52" spans="1:7">
      <c r="A52" s="20">
        <f t="shared" si="4"/>
        <v>31</v>
      </c>
      <c r="B52" s="21">
        <f t="shared" si="0"/>
        <v>42339</v>
      </c>
      <c r="C52" s="22">
        <f t="shared" si="5"/>
        <v>109091590.69478141</v>
      </c>
      <c r="D52" s="22">
        <f t="shared" si="1"/>
        <v>386366.05037735082</v>
      </c>
      <c r="E52" s="22">
        <f t="shared" si="2"/>
        <v>174721.11042858736</v>
      </c>
      <c r="F52" s="22">
        <f t="shared" si="3"/>
        <v>108916869.58435282</v>
      </c>
      <c r="G52" s="22">
        <f t="shared" si="6"/>
        <v>12254531.191167528</v>
      </c>
    </row>
    <row r="53" spans="1:7">
      <c r="A53" s="20">
        <f t="shared" si="4"/>
        <v>32</v>
      </c>
      <c r="B53" s="21">
        <f t="shared" si="0"/>
        <v>42370</v>
      </c>
      <c r="C53" s="22">
        <f t="shared" si="5"/>
        <v>108916869.58435282</v>
      </c>
      <c r="D53" s="22">
        <f t="shared" si="1"/>
        <v>385747.24644458294</v>
      </c>
      <c r="E53" s="22">
        <f t="shared" si="2"/>
        <v>175339.91436135524</v>
      </c>
      <c r="F53" s="22">
        <f t="shared" si="3"/>
        <v>108741529.66999146</v>
      </c>
      <c r="G53" s="22">
        <f t="shared" si="6"/>
        <v>12640278.437612111</v>
      </c>
    </row>
    <row r="54" spans="1:7">
      <c r="A54" s="20">
        <f t="shared" si="4"/>
        <v>33</v>
      </c>
      <c r="B54" s="21">
        <f t="shared" si="0"/>
        <v>42401</v>
      </c>
      <c r="C54" s="22">
        <f t="shared" si="5"/>
        <v>108741529.66999146</v>
      </c>
      <c r="D54" s="22">
        <f t="shared" si="1"/>
        <v>385126.25091455312</v>
      </c>
      <c r="E54" s="22">
        <f t="shared" si="2"/>
        <v>175960.90989138506</v>
      </c>
      <c r="F54" s="22">
        <f t="shared" si="3"/>
        <v>108565568.76010008</v>
      </c>
      <c r="G54" s="22">
        <f t="shared" si="6"/>
        <v>13025404.688526664</v>
      </c>
    </row>
    <row r="55" spans="1:7">
      <c r="A55" s="20">
        <f t="shared" si="4"/>
        <v>34</v>
      </c>
      <c r="B55" s="21">
        <f t="shared" si="0"/>
        <v>42430</v>
      </c>
      <c r="C55" s="22">
        <f t="shared" si="5"/>
        <v>108565568.76010008</v>
      </c>
      <c r="D55" s="22">
        <f t="shared" si="1"/>
        <v>384503.05602535448</v>
      </c>
      <c r="E55" s="22">
        <f t="shared" si="2"/>
        <v>176584.1047805837</v>
      </c>
      <c r="F55" s="22">
        <f t="shared" si="3"/>
        <v>108388984.6553195</v>
      </c>
      <c r="G55" s="22">
        <f t="shared" si="6"/>
        <v>13409907.744552018</v>
      </c>
    </row>
    <row r="56" spans="1:7">
      <c r="A56" s="20">
        <f t="shared" si="4"/>
        <v>35</v>
      </c>
      <c r="B56" s="21">
        <f t="shared" si="0"/>
        <v>42461</v>
      </c>
      <c r="C56" s="22">
        <f t="shared" si="5"/>
        <v>108388984.6553195</v>
      </c>
      <c r="D56" s="22">
        <f t="shared" si="1"/>
        <v>383877.65398758993</v>
      </c>
      <c r="E56" s="22">
        <f t="shared" si="2"/>
        <v>177209.50681834825</v>
      </c>
      <c r="F56" s="22">
        <f t="shared" si="3"/>
        <v>108211775.14850114</v>
      </c>
      <c r="G56" s="22">
        <f t="shared" si="6"/>
        <v>13793785.398539608</v>
      </c>
    </row>
    <row r="57" spans="1:7">
      <c r="A57" s="20">
        <f t="shared" si="4"/>
        <v>36</v>
      </c>
      <c r="B57" s="21">
        <f t="shared" si="0"/>
        <v>42491</v>
      </c>
      <c r="C57" s="22">
        <f t="shared" si="5"/>
        <v>108211775.14850114</v>
      </c>
      <c r="D57" s="22">
        <f t="shared" si="1"/>
        <v>383250.03698427492</v>
      </c>
      <c r="E57" s="22">
        <f t="shared" si="2"/>
        <v>177837.12382166326</v>
      </c>
      <c r="F57" s="22">
        <f t="shared" si="3"/>
        <v>108033938.02467948</v>
      </c>
      <c r="G57" s="22">
        <f t="shared" si="6"/>
        <v>14177035.435523883</v>
      </c>
    </row>
    <row r="58" spans="1:7">
      <c r="A58" s="20">
        <f t="shared" si="4"/>
        <v>37</v>
      </c>
      <c r="B58" s="21">
        <f t="shared" si="0"/>
        <v>42522</v>
      </c>
      <c r="C58" s="22">
        <f t="shared" si="5"/>
        <v>108033938.02467948</v>
      </c>
      <c r="D58" s="22">
        <f t="shared" si="1"/>
        <v>382620.19717073988</v>
      </c>
      <c r="E58" s="22">
        <f t="shared" si="2"/>
        <v>178466.96363519831</v>
      </c>
      <c r="F58" s="22">
        <f t="shared" si="3"/>
        <v>107855471.06104429</v>
      </c>
      <c r="G58" s="22">
        <f t="shared" si="6"/>
        <v>14559655.632694623</v>
      </c>
    </row>
    <row r="59" spans="1:7">
      <c r="A59" s="20">
        <f t="shared" si="4"/>
        <v>38</v>
      </c>
      <c r="B59" s="21">
        <f t="shared" si="0"/>
        <v>42552</v>
      </c>
      <c r="C59" s="22">
        <f t="shared" si="5"/>
        <v>107855471.06104429</v>
      </c>
      <c r="D59" s="22">
        <f t="shared" si="1"/>
        <v>381988.1266745319</v>
      </c>
      <c r="E59" s="22">
        <f t="shared" si="2"/>
        <v>179099.03413140628</v>
      </c>
      <c r="F59" s="22">
        <f t="shared" si="3"/>
        <v>107676372.02691288</v>
      </c>
      <c r="G59" s="22">
        <f t="shared" si="6"/>
        <v>14941643.759369154</v>
      </c>
    </row>
    <row r="60" spans="1:7">
      <c r="A60" s="20">
        <f t="shared" si="4"/>
        <v>39</v>
      </c>
      <c r="B60" s="21">
        <f t="shared" si="0"/>
        <v>42583</v>
      </c>
      <c r="C60" s="22">
        <f t="shared" si="5"/>
        <v>107676372.02691288</v>
      </c>
      <c r="D60" s="22">
        <f t="shared" si="1"/>
        <v>381353.8175953165</v>
      </c>
      <c r="E60" s="22">
        <f t="shared" si="2"/>
        <v>179733.34321062168</v>
      </c>
      <c r="F60" s="22">
        <f t="shared" si="3"/>
        <v>107496638.68370226</v>
      </c>
      <c r="G60" s="22">
        <f t="shared" si="6"/>
        <v>15322997.57696447</v>
      </c>
    </row>
    <row r="61" spans="1:7">
      <c r="A61" s="20">
        <f t="shared" si="4"/>
        <v>40</v>
      </c>
      <c r="B61" s="21">
        <f t="shared" si="0"/>
        <v>42614</v>
      </c>
      <c r="C61" s="22">
        <f t="shared" si="5"/>
        <v>107496638.68370226</v>
      </c>
      <c r="D61" s="22">
        <f t="shared" si="1"/>
        <v>380717.26200477884</v>
      </c>
      <c r="E61" s="22">
        <f t="shared" si="2"/>
        <v>180369.89880115935</v>
      </c>
      <c r="F61" s="22">
        <f t="shared" si="3"/>
        <v>107316268.7849011</v>
      </c>
      <c r="G61" s="22">
        <f t="shared" si="6"/>
        <v>15703714.838969249</v>
      </c>
    </row>
    <row r="62" spans="1:7">
      <c r="A62" s="20">
        <f t="shared" si="4"/>
        <v>41</v>
      </c>
      <c r="B62" s="21">
        <f t="shared" si="0"/>
        <v>42644</v>
      </c>
      <c r="C62" s="22">
        <f t="shared" si="5"/>
        <v>107316268.7849011</v>
      </c>
      <c r="D62" s="22">
        <f t="shared" si="1"/>
        <v>380078.45194652473</v>
      </c>
      <c r="E62" s="22">
        <f t="shared" si="2"/>
        <v>181008.70885941345</v>
      </c>
      <c r="F62" s="22">
        <f t="shared" si="3"/>
        <v>107135260.07604168</v>
      </c>
      <c r="G62" s="22">
        <f t="shared" si="6"/>
        <v>16083793.290915774</v>
      </c>
    </row>
    <row r="63" spans="1:7">
      <c r="A63" s="20">
        <f t="shared" si="4"/>
        <v>42</v>
      </c>
      <c r="B63" s="21">
        <f t="shared" si="0"/>
        <v>42675</v>
      </c>
      <c r="C63" s="22">
        <f t="shared" si="5"/>
        <v>107135260.07604168</v>
      </c>
      <c r="D63" s="22">
        <f t="shared" si="1"/>
        <v>379437.37943598098</v>
      </c>
      <c r="E63" s="22">
        <f t="shared" si="2"/>
        <v>181649.7813699572</v>
      </c>
      <c r="F63" s="22">
        <f t="shared" si="3"/>
        <v>106953610.29467173</v>
      </c>
      <c r="G63" s="22">
        <f t="shared" si="6"/>
        <v>16463230.670351755</v>
      </c>
    </row>
    <row r="64" spans="1:7">
      <c r="A64" s="20">
        <f t="shared" si="4"/>
        <v>43</v>
      </c>
      <c r="B64" s="21">
        <f t="shared" si="0"/>
        <v>42705</v>
      </c>
      <c r="C64" s="22">
        <f t="shared" si="5"/>
        <v>106953610.29467173</v>
      </c>
      <c r="D64" s="22">
        <f t="shared" si="1"/>
        <v>378794.03646029573</v>
      </c>
      <c r="E64" s="22">
        <f t="shared" si="2"/>
        <v>182293.12434564246</v>
      </c>
      <c r="F64" s="22">
        <f t="shared" si="3"/>
        <v>106771317.17032608</v>
      </c>
      <c r="G64" s="22">
        <f t="shared" si="6"/>
        <v>16842024.70681205</v>
      </c>
    </row>
    <row r="65" spans="1:7">
      <c r="A65" s="20">
        <f t="shared" si="4"/>
        <v>44</v>
      </c>
      <c r="B65" s="21">
        <f t="shared" si="0"/>
        <v>42736</v>
      </c>
      <c r="C65" s="22">
        <f t="shared" si="5"/>
        <v>106771317.17032608</v>
      </c>
      <c r="D65" s="22">
        <f t="shared" si="1"/>
        <v>378148.41497823823</v>
      </c>
      <c r="E65" s="22">
        <f t="shared" si="2"/>
        <v>182938.74582769995</v>
      </c>
      <c r="F65" s="22">
        <f t="shared" si="3"/>
        <v>106588378.42449838</v>
      </c>
      <c r="G65" s="22">
        <f t="shared" si="6"/>
        <v>17220173.12179029</v>
      </c>
    </row>
    <row r="66" spans="1:7">
      <c r="A66" s="20">
        <f t="shared" si="4"/>
        <v>45</v>
      </c>
      <c r="B66" s="21">
        <f t="shared" si="0"/>
        <v>42767</v>
      </c>
      <c r="C66" s="22">
        <f t="shared" si="5"/>
        <v>106588378.42449838</v>
      </c>
      <c r="D66" s="22">
        <f t="shared" si="1"/>
        <v>377500.50692009844</v>
      </c>
      <c r="E66" s="22">
        <f t="shared" si="2"/>
        <v>183586.65388583974</v>
      </c>
      <c r="F66" s="22">
        <f t="shared" si="3"/>
        <v>106404791.77061254</v>
      </c>
      <c r="G66" s="22">
        <f t="shared" si="6"/>
        <v>17597673.628710389</v>
      </c>
    </row>
    <row r="67" spans="1:7">
      <c r="A67" s="20">
        <f t="shared" si="4"/>
        <v>46</v>
      </c>
      <c r="B67" s="21">
        <f t="shared" si="0"/>
        <v>42795</v>
      </c>
      <c r="C67" s="22">
        <f t="shared" si="5"/>
        <v>106404791.77061254</v>
      </c>
      <c r="D67" s="22">
        <f t="shared" si="1"/>
        <v>376850.30418758612</v>
      </c>
      <c r="E67" s="22">
        <f t="shared" si="2"/>
        <v>184236.85661835206</v>
      </c>
      <c r="F67" s="22">
        <f t="shared" si="3"/>
        <v>106220554.91399419</v>
      </c>
      <c r="G67" s="22">
        <f t="shared" si="6"/>
        <v>17974523.932897974</v>
      </c>
    </row>
    <row r="68" spans="1:7">
      <c r="A68" s="20">
        <f t="shared" si="4"/>
        <v>47</v>
      </c>
      <c r="B68" s="21">
        <f t="shared" si="0"/>
        <v>42826</v>
      </c>
      <c r="C68" s="22">
        <f t="shared" si="5"/>
        <v>106220554.91399419</v>
      </c>
      <c r="D68" s="22">
        <f t="shared" si="1"/>
        <v>376197.79865372943</v>
      </c>
      <c r="E68" s="22">
        <f t="shared" si="2"/>
        <v>184889.36215220875</v>
      </c>
      <c r="F68" s="22">
        <f t="shared" si="3"/>
        <v>106035665.55184199</v>
      </c>
      <c r="G68" s="22">
        <f t="shared" si="6"/>
        <v>18350721.731551703</v>
      </c>
    </row>
    <row r="69" spans="1:7">
      <c r="A69" s="20">
        <f t="shared" si="4"/>
        <v>48</v>
      </c>
      <c r="B69" s="21">
        <f t="shared" si="0"/>
        <v>42856</v>
      </c>
      <c r="C69" s="22">
        <f t="shared" si="5"/>
        <v>106035665.55184199</v>
      </c>
      <c r="D69" s="22">
        <f t="shared" si="1"/>
        <v>375542.98216277373</v>
      </c>
      <c r="E69" s="22">
        <f t="shared" si="2"/>
        <v>185544.17864316446</v>
      </c>
      <c r="F69" s="22">
        <f t="shared" si="3"/>
        <v>105850121.37319882</v>
      </c>
      <c r="G69" s="22">
        <f t="shared" si="6"/>
        <v>18726264.713714477</v>
      </c>
    </row>
    <row r="70" spans="1:7">
      <c r="A70" s="20">
        <f t="shared" si="4"/>
        <v>49</v>
      </c>
      <c r="B70" s="21">
        <f t="shared" si="0"/>
        <v>42887</v>
      </c>
      <c r="C70" s="22">
        <f t="shared" si="5"/>
        <v>105850121.37319882</v>
      </c>
      <c r="D70" s="22">
        <f t="shared" si="1"/>
        <v>374885.8465300792</v>
      </c>
      <c r="E70" s="22">
        <f t="shared" si="2"/>
        <v>186201.31427585898</v>
      </c>
      <c r="F70" s="22">
        <f t="shared" si="3"/>
        <v>105663920.05892296</v>
      </c>
      <c r="G70" s="22">
        <f t="shared" si="6"/>
        <v>19101150.560244557</v>
      </c>
    </row>
    <row r="71" spans="1:7">
      <c r="A71" s="20">
        <f t="shared" si="4"/>
        <v>50</v>
      </c>
      <c r="B71" s="21">
        <f t="shared" si="0"/>
        <v>42917</v>
      </c>
      <c r="C71" s="22">
        <f t="shared" si="5"/>
        <v>105663920.05892296</v>
      </c>
      <c r="D71" s="22">
        <f t="shared" si="1"/>
        <v>374226.38354201883</v>
      </c>
      <c r="E71" s="22">
        <f t="shared" si="2"/>
        <v>186860.77726391936</v>
      </c>
      <c r="F71" s="22">
        <f t="shared" si="3"/>
        <v>105477059.28165904</v>
      </c>
      <c r="G71" s="22">
        <f t="shared" si="6"/>
        <v>19475376.943786576</v>
      </c>
    </row>
    <row r="72" spans="1:7">
      <c r="A72" s="20">
        <f t="shared" si="4"/>
        <v>51</v>
      </c>
      <c r="B72" s="21">
        <f t="shared" si="0"/>
        <v>42948</v>
      </c>
      <c r="C72" s="22">
        <f t="shared" si="5"/>
        <v>105477059.28165904</v>
      </c>
      <c r="D72" s="22">
        <f t="shared" si="1"/>
        <v>373564.58495587576</v>
      </c>
      <c r="E72" s="22">
        <f t="shared" si="2"/>
        <v>187522.57585006242</v>
      </c>
      <c r="F72" s="22">
        <f t="shared" si="3"/>
        <v>105289536.70580897</v>
      </c>
      <c r="G72" s="22">
        <f t="shared" si="6"/>
        <v>19848941.528742451</v>
      </c>
    </row>
    <row r="73" spans="1:7">
      <c r="A73" s="20">
        <f t="shared" si="4"/>
        <v>52</v>
      </c>
      <c r="B73" s="21">
        <f t="shared" si="0"/>
        <v>42979</v>
      </c>
      <c r="C73" s="22">
        <f t="shared" si="5"/>
        <v>105289536.70580897</v>
      </c>
      <c r="D73" s="22">
        <f t="shared" si="1"/>
        <v>372900.44249974011</v>
      </c>
      <c r="E73" s="22">
        <f t="shared" si="2"/>
        <v>188186.71830619808</v>
      </c>
      <c r="F73" s="22">
        <f t="shared" si="3"/>
        <v>105101349.98750277</v>
      </c>
      <c r="G73" s="22">
        <f t="shared" si="6"/>
        <v>20221841.971242193</v>
      </c>
    </row>
    <row r="74" spans="1:7">
      <c r="A74" s="20">
        <f t="shared" si="4"/>
        <v>53</v>
      </c>
      <c r="B74" s="21">
        <f t="shared" si="0"/>
        <v>43009</v>
      </c>
      <c r="C74" s="22">
        <f t="shared" si="5"/>
        <v>105101349.98750277</v>
      </c>
      <c r="D74" s="22">
        <f t="shared" si="1"/>
        <v>372233.94787240564</v>
      </c>
      <c r="E74" s="22">
        <f t="shared" si="2"/>
        <v>188853.21293353254</v>
      </c>
      <c r="F74" s="22">
        <f t="shared" si="3"/>
        <v>104912496.77456924</v>
      </c>
      <c r="G74" s="22">
        <f t="shared" si="6"/>
        <v>20594075.919114597</v>
      </c>
    </row>
    <row r="75" spans="1:7">
      <c r="A75" s="20">
        <f t="shared" si="4"/>
        <v>54</v>
      </c>
      <c r="B75" s="21">
        <f t="shared" si="0"/>
        <v>43040</v>
      </c>
      <c r="C75" s="22">
        <f t="shared" si="5"/>
        <v>104912496.77456924</v>
      </c>
      <c r="D75" s="22">
        <f t="shared" si="1"/>
        <v>371565.09274326608</v>
      </c>
      <c r="E75" s="22">
        <f t="shared" si="2"/>
        <v>189522.0680626721</v>
      </c>
      <c r="F75" s="22">
        <f t="shared" si="3"/>
        <v>104722974.70650657</v>
      </c>
      <c r="G75" s="22">
        <f t="shared" si="6"/>
        <v>20965641.011857864</v>
      </c>
    </row>
    <row r="76" spans="1:7">
      <c r="A76" s="20">
        <f t="shared" si="4"/>
        <v>55</v>
      </c>
      <c r="B76" s="21">
        <f t="shared" si="0"/>
        <v>43070</v>
      </c>
      <c r="C76" s="22">
        <f t="shared" si="5"/>
        <v>104722974.70650657</v>
      </c>
      <c r="D76" s="22">
        <f t="shared" si="1"/>
        <v>370893.86875221075</v>
      </c>
      <c r="E76" s="22">
        <f t="shared" si="2"/>
        <v>190193.29205372743</v>
      </c>
      <c r="F76" s="22">
        <f t="shared" si="3"/>
        <v>104532781.41445284</v>
      </c>
      <c r="G76" s="22">
        <f t="shared" si="6"/>
        <v>21336534.880610075</v>
      </c>
    </row>
    <row r="77" spans="1:7">
      <c r="A77" s="20">
        <f t="shared" si="4"/>
        <v>56</v>
      </c>
      <c r="B77" s="21">
        <f t="shared" si="0"/>
        <v>43101</v>
      </c>
      <c r="C77" s="22">
        <f t="shared" si="5"/>
        <v>104532781.41445284</v>
      </c>
      <c r="D77" s="22">
        <f t="shared" si="1"/>
        <v>370220.26750952046</v>
      </c>
      <c r="E77" s="22">
        <f t="shared" si="2"/>
        <v>190866.89329641772</v>
      </c>
      <c r="F77" s="22">
        <f t="shared" si="3"/>
        <v>104341914.52115642</v>
      </c>
      <c r="G77" s="22">
        <f t="shared" si="6"/>
        <v>21706755.148119595</v>
      </c>
    </row>
    <row r="78" spans="1:7">
      <c r="A78" s="20">
        <f t="shared" si="4"/>
        <v>57</v>
      </c>
      <c r="B78" s="21">
        <f t="shared" si="0"/>
        <v>43132</v>
      </c>
      <c r="C78" s="22">
        <f t="shared" si="5"/>
        <v>104341914.52115642</v>
      </c>
      <c r="D78" s="22">
        <f t="shared" si="1"/>
        <v>369544.28059576231</v>
      </c>
      <c r="E78" s="22">
        <f t="shared" si="2"/>
        <v>191542.88021017588</v>
      </c>
      <c r="F78" s="22">
        <f t="shared" si="3"/>
        <v>104150371.64094624</v>
      </c>
      <c r="G78" s="22">
        <f t="shared" si="6"/>
        <v>22076299.428715356</v>
      </c>
    </row>
    <row r="79" spans="1:7">
      <c r="A79" s="20">
        <f t="shared" si="4"/>
        <v>58</v>
      </c>
      <c r="B79" s="21">
        <f t="shared" si="0"/>
        <v>43160</v>
      </c>
      <c r="C79" s="22">
        <f t="shared" si="5"/>
        <v>104150371.64094624</v>
      </c>
      <c r="D79" s="22">
        <f t="shared" si="1"/>
        <v>368865.89956168464</v>
      </c>
      <c r="E79" s="22">
        <f t="shared" si="2"/>
        <v>192221.26124425355</v>
      </c>
      <c r="F79" s="22">
        <f t="shared" si="3"/>
        <v>103958150.37970199</v>
      </c>
      <c r="G79" s="22">
        <f t="shared" si="6"/>
        <v>22445165.32827704</v>
      </c>
    </row>
    <row r="80" spans="1:7">
      <c r="A80" s="20">
        <f t="shared" si="4"/>
        <v>59</v>
      </c>
      <c r="B80" s="21">
        <f t="shared" si="0"/>
        <v>43191</v>
      </c>
      <c r="C80" s="22">
        <f t="shared" si="5"/>
        <v>103958150.37970199</v>
      </c>
      <c r="D80" s="22">
        <f t="shared" si="1"/>
        <v>368185.11592811125</v>
      </c>
      <c r="E80" s="22">
        <f t="shared" si="2"/>
        <v>192902.04487782693</v>
      </c>
      <c r="F80" s="22">
        <f t="shared" si="3"/>
        <v>103765248.33482416</v>
      </c>
      <c r="G80" s="22">
        <f t="shared" si="6"/>
        <v>22813350.44420515</v>
      </c>
    </row>
    <row r="81" spans="1:7">
      <c r="A81" s="20">
        <f t="shared" si="4"/>
        <v>60</v>
      </c>
      <c r="B81" s="21">
        <f t="shared" si="0"/>
        <v>43221</v>
      </c>
      <c r="C81" s="22">
        <f t="shared" si="5"/>
        <v>103765248.33482416</v>
      </c>
      <c r="D81" s="22">
        <f t="shared" si="1"/>
        <v>367501.92118583561</v>
      </c>
      <c r="E81" s="22">
        <f t="shared" si="2"/>
        <v>193585.23962010257</v>
      </c>
      <c r="F81" s="22">
        <f t="shared" si="3"/>
        <v>103571663.09520406</v>
      </c>
      <c r="G81" s="22">
        <f t="shared" si="6"/>
        <v>23180852.365390986</v>
      </c>
    </row>
    <row r="82" spans="1:7">
      <c r="A82" s="20">
        <f t="shared" si="4"/>
        <v>61</v>
      </c>
      <c r="B82" s="21">
        <f t="shared" si="0"/>
        <v>43252</v>
      </c>
      <c r="C82" s="22">
        <f t="shared" si="5"/>
        <v>103571663.09520406</v>
      </c>
      <c r="D82" s="22">
        <f t="shared" si="1"/>
        <v>366816.30679551436</v>
      </c>
      <c r="E82" s="22">
        <f t="shared" si="2"/>
        <v>194270.85401042382</v>
      </c>
      <c r="F82" s="22">
        <f t="shared" si="3"/>
        <v>103377392.24119364</v>
      </c>
      <c r="G82" s="22">
        <f t="shared" si="6"/>
        <v>23547668.672186501</v>
      </c>
    </row>
    <row r="83" spans="1:7">
      <c r="A83" s="20">
        <f t="shared" si="4"/>
        <v>62</v>
      </c>
      <c r="B83" s="21">
        <f t="shared" si="0"/>
        <v>43282</v>
      </c>
      <c r="C83" s="22">
        <f t="shared" si="5"/>
        <v>103377392.24119364</v>
      </c>
      <c r="D83" s="22">
        <f t="shared" si="1"/>
        <v>366128.26418756082</v>
      </c>
      <c r="E83" s="22">
        <f t="shared" si="2"/>
        <v>194958.89661837736</v>
      </c>
      <c r="F83" s="22">
        <f t="shared" si="3"/>
        <v>103182433.34457526</v>
      </c>
      <c r="G83" s="22">
        <f t="shared" si="6"/>
        <v>23913796.936374061</v>
      </c>
    </row>
    <row r="84" spans="1:7">
      <c r="A84" s="20">
        <f t="shared" si="4"/>
        <v>63</v>
      </c>
      <c r="B84" s="21">
        <f t="shared" si="0"/>
        <v>43313</v>
      </c>
      <c r="C84" s="22">
        <f t="shared" si="5"/>
        <v>103182433.34457526</v>
      </c>
      <c r="D84" s="22">
        <f t="shared" si="1"/>
        <v>365437.78476203739</v>
      </c>
      <c r="E84" s="22">
        <f t="shared" si="2"/>
        <v>195649.37604390079</v>
      </c>
      <c r="F84" s="22">
        <f t="shared" si="3"/>
        <v>102986783.96853136</v>
      </c>
      <c r="G84" s="22">
        <f t="shared" si="6"/>
        <v>24279234.721136097</v>
      </c>
    </row>
    <row r="85" spans="1:7">
      <c r="A85" s="20">
        <f t="shared" si="4"/>
        <v>64</v>
      </c>
      <c r="B85" s="21">
        <f t="shared" si="0"/>
        <v>43344</v>
      </c>
      <c r="C85" s="22">
        <f t="shared" si="5"/>
        <v>102986783.96853136</v>
      </c>
      <c r="D85" s="22">
        <f t="shared" si="1"/>
        <v>364744.85988854856</v>
      </c>
      <c r="E85" s="22">
        <f t="shared" si="2"/>
        <v>196342.30091738963</v>
      </c>
      <c r="F85" s="22">
        <f t="shared" si="3"/>
        <v>102790441.66761397</v>
      </c>
      <c r="G85" s="22">
        <f t="shared" si="6"/>
        <v>24643979.581024647</v>
      </c>
    </row>
    <row r="86" spans="1:7">
      <c r="A86" s="20">
        <f t="shared" si="4"/>
        <v>65</v>
      </c>
      <c r="B86" s="21">
        <f t="shared" ref="B86:B149" si="7">Show.Date</f>
        <v>43374</v>
      </c>
      <c r="C86" s="22">
        <f t="shared" si="5"/>
        <v>102790441.66761397</v>
      </c>
      <c r="D86" s="22">
        <f t="shared" ref="D86:D149" si="8">Interest</f>
        <v>364049.48090613284</v>
      </c>
      <c r="E86" s="22">
        <f t="shared" ref="E86:E149" si="9">Principal+H86</f>
        <v>197037.67989980534</v>
      </c>
      <c r="F86" s="22">
        <f t="shared" ref="F86:F149" si="10">Ending.Balance</f>
        <v>102593403.98771416</v>
      </c>
      <c r="G86" s="22">
        <f t="shared" si="6"/>
        <v>25008029.061930779</v>
      </c>
    </row>
    <row r="87" spans="1:7">
      <c r="A87" s="20">
        <f t="shared" ref="A87:A150" si="11">payment.Num</f>
        <v>66</v>
      </c>
      <c r="B87" s="21">
        <f t="shared" si="7"/>
        <v>43405</v>
      </c>
      <c r="C87" s="22">
        <f t="shared" ref="C87:C150" si="12">Beg.Bal</f>
        <v>102593403.98771416</v>
      </c>
      <c r="D87" s="22">
        <f t="shared" si="8"/>
        <v>363351.63912315434</v>
      </c>
      <c r="E87" s="22">
        <f t="shared" si="9"/>
        <v>197735.52168278384</v>
      </c>
      <c r="F87" s="22">
        <f t="shared" si="10"/>
        <v>102395668.46603137</v>
      </c>
      <c r="G87" s="22">
        <f t="shared" ref="G87:G150" si="13">Cum.Interest</f>
        <v>25371380.701053932</v>
      </c>
    </row>
    <row r="88" spans="1:7">
      <c r="A88" s="20">
        <f t="shared" si="11"/>
        <v>67</v>
      </c>
      <c r="B88" s="21">
        <f t="shared" si="7"/>
        <v>43435</v>
      </c>
      <c r="C88" s="22">
        <f t="shared" si="12"/>
        <v>102395668.46603137</v>
      </c>
      <c r="D88" s="22">
        <f t="shared" si="8"/>
        <v>362651.32581719448</v>
      </c>
      <c r="E88" s="22">
        <f t="shared" si="9"/>
        <v>198435.83498874371</v>
      </c>
      <c r="F88" s="22">
        <f t="shared" si="10"/>
        <v>102197232.63104263</v>
      </c>
      <c r="G88" s="22">
        <f t="shared" si="13"/>
        <v>25734032.026871126</v>
      </c>
    </row>
    <row r="89" spans="1:7">
      <c r="A89" s="20">
        <f t="shared" si="11"/>
        <v>68</v>
      </c>
      <c r="B89" s="21">
        <f t="shared" si="7"/>
        <v>43466</v>
      </c>
      <c r="C89" s="22">
        <f t="shared" si="12"/>
        <v>102197232.63104263</v>
      </c>
      <c r="D89" s="22">
        <f t="shared" si="8"/>
        <v>361948.53223494266</v>
      </c>
      <c r="E89" s="22">
        <f t="shared" si="9"/>
        <v>199138.62857099553</v>
      </c>
      <c r="F89" s="22">
        <f t="shared" si="10"/>
        <v>101998094.00247164</v>
      </c>
      <c r="G89" s="22">
        <f t="shared" si="13"/>
        <v>26095980.559106071</v>
      </c>
    </row>
    <row r="90" spans="1:7">
      <c r="A90" s="20">
        <f t="shared" si="11"/>
        <v>69</v>
      </c>
      <c r="B90" s="21">
        <f t="shared" si="7"/>
        <v>43497</v>
      </c>
      <c r="C90" s="22">
        <f t="shared" si="12"/>
        <v>101998094.00247164</v>
      </c>
      <c r="D90" s="22">
        <f t="shared" si="8"/>
        <v>361243.24959208712</v>
      </c>
      <c r="E90" s="22">
        <f t="shared" si="9"/>
        <v>199843.91121385107</v>
      </c>
      <c r="F90" s="22">
        <f t="shared" si="10"/>
        <v>101798250.0912578</v>
      </c>
      <c r="G90" s="22">
        <f t="shared" si="13"/>
        <v>26457223.808698159</v>
      </c>
    </row>
    <row r="91" spans="1:7">
      <c r="A91" s="20">
        <f t="shared" si="11"/>
        <v>70</v>
      </c>
      <c r="B91" s="21">
        <f t="shared" si="7"/>
        <v>43525</v>
      </c>
      <c r="C91" s="22">
        <f t="shared" si="12"/>
        <v>101798250.0912578</v>
      </c>
      <c r="D91" s="22">
        <f t="shared" si="8"/>
        <v>360535.46907320473</v>
      </c>
      <c r="E91" s="22">
        <f t="shared" si="9"/>
        <v>200551.69173273345</v>
      </c>
      <c r="F91" s="22">
        <f t="shared" si="10"/>
        <v>101597698.39952506</v>
      </c>
      <c r="G91" s="22">
        <f t="shared" si="13"/>
        <v>26817759.277771365</v>
      </c>
    </row>
    <row r="92" spans="1:7">
      <c r="A92" s="20">
        <f t="shared" si="11"/>
        <v>71</v>
      </c>
      <c r="B92" s="21">
        <f t="shared" si="7"/>
        <v>43556</v>
      </c>
      <c r="C92" s="22">
        <f t="shared" si="12"/>
        <v>101597698.39952506</v>
      </c>
      <c r="D92" s="22">
        <f t="shared" si="8"/>
        <v>359825.18183165131</v>
      </c>
      <c r="E92" s="22">
        <f t="shared" si="9"/>
        <v>201261.97897428687</v>
      </c>
      <c r="F92" s="22">
        <f t="shared" si="10"/>
        <v>101396436.42055078</v>
      </c>
      <c r="G92" s="22">
        <f t="shared" si="13"/>
        <v>27177584.459603015</v>
      </c>
    </row>
    <row r="93" spans="1:7">
      <c r="A93" s="20">
        <f t="shared" si="11"/>
        <v>72</v>
      </c>
      <c r="B93" s="21">
        <f t="shared" si="7"/>
        <v>43586</v>
      </c>
      <c r="C93" s="22">
        <f t="shared" si="12"/>
        <v>101396436.42055078</v>
      </c>
      <c r="D93" s="22">
        <f t="shared" si="8"/>
        <v>359112.37898945069</v>
      </c>
      <c r="E93" s="22">
        <f t="shared" si="9"/>
        <v>201974.78181648749</v>
      </c>
      <c r="F93" s="22">
        <f t="shared" si="10"/>
        <v>101194461.6387343</v>
      </c>
      <c r="G93" s="22">
        <f t="shared" si="13"/>
        <v>27536696.838592466</v>
      </c>
    </row>
    <row r="94" spans="1:7">
      <c r="A94" s="20">
        <f t="shared" si="11"/>
        <v>73</v>
      </c>
      <c r="B94" s="21">
        <f t="shared" si="7"/>
        <v>43617</v>
      </c>
      <c r="C94" s="22">
        <f t="shared" si="12"/>
        <v>101194461.6387343</v>
      </c>
      <c r="D94" s="22">
        <f t="shared" si="8"/>
        <v>358397.05163718399</v>
      </c>
      <c r="E94" s="22">
        <f t="shared" si="9"/>
        <v>202690.10916875419</v>
      </c>
      <c r="F94" s="22">
        <f t="shared" si="10"/>
        <v>100991771.52956554</v>
      </c>
      <c r="G94" s="22">
        <f t="shared" si="13"/>
        <v>27895093.89022965</v>
      </c>
    </row>
    <row r="95" spans="1:7">
      <c r="A95" s="20">
        <f t="shared" si="11"/>
        <v>74</v>
      </c>
      <c r="B95" s="21">
        <f t="shared" si="7"/>
        <v>43647</v>
      </c>
      <c r="C95" s="22">
        <f t="shared" si="12"/>
        <v>100991771.52956554</v>
      </c>
      <c r="D95" s="22">
        <f t="shared" si="8"/>
        <v>357679.190833878</v>
      </c>
      <c r="E95" s="22">
        <f t="shared" si="9"/>
        <v>203407.96997206018</v>
      </c>
      <c r="F95" s="22">
        <f t="shared" si="10"/>
        <v>100788363.55959348</v>
      </c>
      <c r="G95" s="22">
        <f t="shared" si="13"/>
        <v>28252773.081063528</v>
      </c>
    </row>
    <row r="96" spans="1:7">
      <c r="A96" s="20">
        <f t="shared" si="11"/>
        <v>75</v>
      </c>
      <c r="B96" s="21">
        <f t="shared" si="7"/>
        <v>43678</v>
      </c>
      <c r="C96" s="22">
        <f t="shared" si="12"/>
        <v>100788363.55959348</v>
      </c>
      <c r="D96" s="22">
        <f t="shared" si="8"/>
        <v>356958.78760689363</v>
      </c>
      <c r="E96" s="22">
        <f t="shared" si="9"/>
        <v>204128.37319904455</v>
      </c>
      <c r="F96" s="22">
        <f t="shared" si="10"/>
        <v>100584235.18639444</v>
      </c>
      <c r="G96" s="22">
        <f t="shared" si="13"/>
        <v>28609731.868670423</v>
      </c>
    </row>
    <row r="97" spans="1:7">
      <c r="A97" s="20">
        <f t="shared" si="11"/>
        <v>76</v>
      </c>
      <c r="B97" s="21">
        <f t="shared" si="7"/>
        <v>43709</v>
      </c>
      <c r="C97" s="22">
        <f t="shared" si="12"/>
        <v>100584235.18639444</v>
      </c>
      <c r="D97" s="22">
        <f t="shared" si="8"/>
        <v>356235.83295181365</v>
      </c>
      <c r="E97" s="22">
        <f t="shared" si="9"/>
        <v>204851.32785412454</v>
      </c>
      <c r="F97" s="22">
        <f t="shared" si="10"/>
        <v>100379383.85854031</v>
      </c>
      <c r="G97" s="22">
        <f t="shared" si="13"/>
        <v>28965967.701622237</v>
      </c>
    </row>
    <row r="98" spans="1:7">
      <c r="A98" s="20">
        <f t="shared" si="11"/>
        <v>77</v>
      </c>
      <c r="B98" s="21">
        <f t="shared" si="7"/>
        <v>43739</v>
      </c>
      <c r="C98" s="22">
        <f t="shared" si="12"/>
        <v>100379383.85854031</v>
      </c>
      <c r="D98" s="22">
        <f t="shared" si="8"/>
        <v>355510.3178323303</v>
      </c>
      <c r="E98" s="22">
        <f t="shared" si="9"/>
        <v>205576.84297360788</v>
      </c>
      <c r="F98" s="22">
        <f t="shared" si="10"/>
        <v>100173807.01556671</v>
      </c>
      <c r="G98" s="22">
        <f t="shared" si="13"/>
        <v>29321478.019454569</v>
      </c>
    </row>
    <row r="99" spans="1:7">
      <c r="A99" s="20">
        <f t="shared" si="11"/>
        <v>78</v>
      </c>
      <c r="B99" s="21">
        <f t="shared" si="7"/>
        <v>43770</v>
      </c>
      <c r="C99" s="22">
        <f t="shared" si="12"/>
        <v>100173807.01556671</v>
      </c>
      <c r="D99" s="22">
        <f t="shared" si="8"/>
        <v>354782.23318013211</v>
      </c>
      <c r="E99" s="22">
        <f t="shared" si="9"/>
        <v>206304.92762580607</v>
      </c>
      <c r="F99" s="22">
        <f t="shared" si="10"/>
        <v>99967502.087940902</v>
      </c>
      <c r="G99" s="22">
        <f t="shared" si="13"/>
        <v>29676260.2526347</v>
      </c>
    </row>
    <row r="100" spans="1:7">
      <c r="A100" s="20">
        <f t="shared" si="11"/>
        <v>79</v>
      </c>
      <c r="B100" s="21">
        <f t="shared" si="7"/>
        <v>43800</v>
      </c>
      <c r="C100" s="22">
        <f t="shared" si="12"/>
        <v>99967502.087940902</v>
      </c>
      <c r="D100" s="22">
        <f t="shared" si="8"/>
        <v>354051.56989479071</v>
      </c>
      <c r="E100" s="22">
        <f t="shared" si="9"/>
        <v>207035.59091114748</v>
      </c>
      <c r="F100" s="22">
        <f t="shared" si="10"/>
        <v>99760466.497029752</v>
      </c>
      <c r="G100" s="22">
        <f t="shared" si="13"/>
        <v>30030311.822529491</v>
      </c>
    </row>
    <row r="101" spans="1:7">
      <c r="A101" s="20">
        <f t="shared" si="11"/>
        <v>80</v>
      </c>
      <c r="B101" s="21">
        <f t="shared" si="7"/>
        <v>43831</v>
      </c>
      <c r="C101" s="22">
        <f t="shared" si="12"/>
        <v>99760466.497029752</v>
      </c>
      <c r="D101" s="22">
        <f t="shared" si="8"/>
        <v>353318.31884364708</v>
      </c>
      <c r="E101" s="22">
        <f t="shared" si="9"/>
        <v>207768.8419622911</v>
      </c>
      <c r="F101" s="22">
        <f t="shared" si="10"/>
        <v>99552697.655067459</v>
      </c>
      <c r="G101" s="22">
        <f t="shared" si="13"/>
        <v>30383630.141373139</v>
      </c>
    </row>
    <row r="102" spans="1:7">
      <c r="A102" s="20">
        <f t="shared" si="11"/>
        <v>81</v>
      </c>
      <c r="B102" s="21">
        <f t="shared" si="7"/>
        <v>43862</v>
      </c>
      <c r="C102" s="22">
        <f t="shared" si="12"/>
        <v>99552697.655067459</v>
      </c>
      <c r="D102" s="22">
        <f t="shared" si="8"/>
        <v>352582.47086169728</v>
      </c>
      <c r="E102" s="22">
        <f t="shared" si="9"/>
        <v>208504.6899442409</v>
      </c>
      <c r="F102" s="22">
        <f t="shared" si="10"/>
        <v>99344192.965123221</v>
      </c>
      <c r="G102" s="22">
        <f t="shared" si="13"/>
        <v>30736212.612234835</v>
      </c>
    </row>
    <row r="103" spans="1:7">
      <c r="A103" s="20">
        <f t="shared" si="11"/>
        <v>82</v>
      </c>
      <c r="B103" s="21">
        <f t="shared" si="7"/>
        <v>43891</v>
      </c>
      <c r="C103" s="22">
        <f t="shared" si="12"/>
        <v>99344192.965123221</v>
      </c>
      <c r="D103" s="22">
        <f t="shared" si="8"/>
        <v>351844.01675147808</v>
      </c>
      <c r="E103" s="22">
        <f t="shared" si="9"/>
        <v>209243.14405446011</v>
      </c>
      <c r="F103" s="22">
        <f t="shared" si="10"/>
        <v>99134949.821068764</v>
      </c>
      <c r="G103" s="22">
        <f t="shared" si="13"/>
        <v>31088056.628986314</v>
      </c>
    </row>
    <row r="104" spans="1:7">
      <c r="A104" s="20">
        <f t="shared" si="11"/>
        <v>83</v>
      </c>
      <c r="B104" s="21">
        <f t="shared" si="7"/>
        <v>43922</v>
      </c>
      <c r="C104" s="22">
        <f t="shared" si="12"/>
        <v>99134949.821068764</v>
      </c>
      <c r="D104" s="22">
        <f t="shared" si="8"/>
        <v>351102.94728295191</v>
      </c>
      <c r="E104" s="22">
        <f t="shared" si="9"/>
        <v>209984.21352298628</v>
      </c>
      <c r="F104" s="22">
        <f t="shared" si="10"/>
        <v>98924965.607545778</v>
      </c>
      <c r="G104" s="22">
        <f t="shared" si="13"/>
        <v>31439159.576269265</v>
      </c>
    </row>
    <row r="105" spans="1:7">
      <c r="A105" s="20">
        <f t="shared" si="11"/>
        <v>84</v>
      </c>
      <c r="B105" s="21">
        <f t="shared" si="7"/>
        <v>43952</v>
      </c>
      <c r="C105" s="22">
        <f t="shared" si="12"/>
        <v>98924965.607545778</v>
      </c>
      <c r="D105" s="22">
        <f t="shared" si="8"/>
        <v>350359.25319339131</v>
      </c>
      <c r="E105" s="22">
        <f t="shared" si="9"/>
        <v>210727.90761254687</v>
      </c>
      <c r="F105" s="22">
        <f t="shared" si="10"/>
        <v>98714237.699933231</v>
      </c>
      <c r="G105" s="22">
        <f t="shared" si="13"/>
        <v>31789518.829462655</v>
      </c>
    </row>
    <row r="106" spans="1:7">
      <c r="A106" s="20">
        <f t="shared" si="11"/>
        <v>85</v>
      </c>
      <c r="B106" s="21">
        <f t="shared" si="7"/>
        <v>43983</v>
      </c>
      <c r="C106" s="22">
        <f t="shared" si="12"/>
        <v>98714237.699933231</v>
      </c>
      <c r="D106" s="22">
        <f t="shared" si="8"/>
        <v>349612.92518726358</v>
      </c>
      <c r="E106" s="22">
        <f t="shared" si="9"/>
        <v>211474.2356186746</v>
      </c>
      <c r="F106" s="22">
        <f t="shared" si="10"/>
        <v>98502763.46431455</v>
      </c>
      <c r="G106" s="22">
        <f t="shared" si="13"/>
        <v>32139131.754649919</v>
      </c>
    </row>
    <row r="107" spans="1:7">
      <c r="A107" s="20">
        <f t="shared" si="11"/>
        <v>86</v>
      </c>
      <c r="B107" s="21">
        <f t="shared" si="7"/>
        <v>44013</v>
      </c>
      <c r="C107" s="22">
        <f t="shared" si="12"/>
        <v>98502763.46431455</v>
      </c>
      <c r="D107" s="22">
        <f t="shared" si="8"/>
        <v>348863.95393611403</v>
      </c>
      <c r="E107" s="22">
        <f t="shared" si="9"/>
        <v>212223.20686982415</v>
      </c>
      <c r="F107" s="22">
        <f t="shared" si="10"/>
        <v>98290540.257444724</v>
      </c>
      <c r="G107" s="22">
        <f t="shared" si="13"/>
        <v>32487995.708586033</v>
      </c>
    </row>
    <row r="108" spans="1:7">
      <c r="A108" s="20">
        <f t="shared" si="11"/>
        <v>87</v>
      </c>
      <c r="B108" s="21">
        <f t="shared" si="7"/>
        <v>44044</v>
      </c>
      <c r="C108" s="22">
        <f t="shared" si="12"/>
        <v>98290540.257444724</v>
      </c>
      <c r="D108" s="22">
        <f t="shared" si="8"/>
        <v>348112.33007845009</v>
      </c>
      <c r="E108" s="22">
        <f t="shared" si="9"/>
        <v>212974.83072748809</v>
      </c>
      <c r="F108" s="22">
        <f t="shared" si="10"/>
        <v>98077565.426717237</v>
      </c>
      <c r="G108" s="22">
        <f t="shared" si="13"/>
        <v>32836108.038664483</v>
      </c>
    </row>
    <row r="109" spans="1:7">
      <c r="A109" s="20">
        <f t="shared" si="11"/>
        <v>88</v>
      </c>
      <c r="B109" s="21">
        <f t="shared" si="7"/>
        <v>44075</v>
      </c>
      <c r="C109" s="22">
        <f t="shared" si="12"/>
        <v>98077565.426717237</v>
      </c>
      <c r="D109" s="22">
        <f t="shared" si="8"/>
        <v>347358.04421962355</v>
      </c>
      <c r="E109" s="22">
        <f t="shared" si="9"/>
        <v>213729.11658631463</v>
      </c>
      <c r="F109" s="22">
        <f t="shared" si="10"/>
        <v>97863836.310130924</v>
      </c>
      <c r="G109" s="22">
        <f t="shared" si="13"/>
        <v>33183466.082884107</v>
      </c>
    </row>
    <row r="110" spans="1:7">
      <c r="A110" s="20">
        <f t="shared" si="11"/>
        <v>89</v>
      </c>
      <c r="B110" s="21">
        <f t="shared" si="7"/>
        <v>44105</v>
      </c>
      <c r="C110" s="22">
        <f t="shared" si="12"/>
        <v>97863836.310130924</v>
      </c>
      <c r="D110" s="22">
        <f t="shared" si="8"/>
        <v>346601.08693171374</v>
      </c>
      <c r="E110" s="22">
        <f t="shared" si="9"/>
        <v>214486.07387422444</v>
      </c>
      <c r="F110" s="22">
        <f t="shared" si="10"/>
        <v>97649350.236256704</v>
      </c>
      <c r="G110" s="22">
        <f t="shared" si="13"/>
        <v>33530067.16981582</v>
      </c>
    </row>
    <row r="111" spans="1:7">
      <c r="A111" s="20">
        <f t="shared" si="11"/>
        <v>90</v>
      </c>
      <c r="B111" s="21">
        <f t="shared" si="7"/>
        <v>44136</v>
      </c>
      <c r="C111" s="22">
        <f t="shared" si="12"/>
        <v>97649350.236256704</v>
      </c>
      <c r="D111" s="22">
        <f t="shared" si="8"/>
        <v>345841.4487534092</v>
      </c>
      <c r="E111" s="22">
        <f t="shared" si="9"/>
        <v>215245.71205252898</v>
      </c>
      <c r="F111" s="22">
        <f t="shared" si="10"/>
        <v>97434104.52420418</v>
      </c>
      <c r="G111" s="22">
        <f t="shared" si="13"/>
        <v>33875908.618569233</v>
      </c>
    </row>
    <row r="112" spans="1:7">
      <c r="A112" s="20">
        <f t="shared" si="11"/>
        <v>91</v>
      </c>
      <c r="B112" s="21">
        <f t="shared" si="7"/>
        <v>44166</v>
      </c>
      <c r="C112" s="22">
        <f t="shared" si="12"/>
        <v>97434104.52420418</v>
      </c>
      <c r="D112" s="22">
        <f t="shared" si="8"/>
        <v>345079.1201898898</v>
      </c>
      <c r="E112" s="22">
        <f t="shared" si="9"/>
        <v>216008.04061604838</v>
      </c>
      <c r="F112" s="22">
        <f t="shared" si="10"/>
        <v>97218096.483588129</v>
      </c>
      <c r="G112" s="22">
        <f t="shared" si="13"/>
        <v>34220987.738759123</v>
      </c>
    </row>
    <row r="113" spans="1:7">
      <c r="A113" s="20">
        <f t="shared" si="11"/>
        <v>92</v>
      </c>
      <c r="B113" s="21">
        <f t="shared" si="7"/>
        <v>44197</v>
      </c>
      <c r="C113" s="22">
        <f t="shared" si="12"/>
        <v>97218096.483588129</v>
      </c>
      <c r="D113" s="22">
        <f t="shared" si="8"/>
        <v>344314.091712708</v>
      </c>
      <c r="E113" s="22">
        <f t="shared" si="9"/>
        <v>216773.06909323018</v>
      </c>
      <c r="F113" s="22">
        <f t="shared" si="10"/>
        <v>97001323.414494902</v>
      </c>
      <c r="G113" s="22">
        <f t="shared" si="13"/>
        <v>34565301.830471829</v>
      </c>
    </row>
    <row r="114" spans="1:7">
      <c r="A114" s="20">
        <f t="shared" si="11"/>
        <v>93</v>
      </c>
      <c r="B114" s="21">
        <f t="shared" si="7"/>
        <v>44228</v>
      </c>
      <c r="C114" s="22">
        <f t="shared" si="12"/>
        <v>97001323.414494902</v>
      </c>
      <c r="D114" s="22">
        <f t="shared" si="8"/>
        <v>343546.35375966947</v>
      </c>
      <c r="E114" s="22">
        <f t="shared" si="9"/>
        <v>217540.80704626872</v>
      </c>
      <c r="F114" s="22">
        <f t="shared" si="10"/>
        <v>96783782.607448637</v>
      </c>
      <c r="G114" s="22">
        <f t="shared" si="13"/>
        <v>34908848.184231497</v>
      </c>
    </row>
    <row r="115" spans="1:7">
      <c r="A115" s="20">
        <f t="shared" si="11"/>
        <v>94</v>
      </c>
      <c r="B115" s="21">
        <f t="shared" si="7"/>
        <v>44256</v>
      </c>
      <c r="C115" s="22">
        <f t="shared" si="12"/>
        <v>96783782.607448637</v>
      </c>
      <c r="D115" s="22">
        <f t="shared" si="8"/>
        <v>342775.89673471393</v>
      </c>
      <c r="E115" s="22">
        <f t="shared" si="9"/>
        <v>218311.26407122426</v>
      </c>
      <c r="F115" s="22">
        <f t="shared" si="10"/>
        <v>96565471.343377411</v>
      </c>
      <c r="G115" s="22">
        <f t="shared" si="13"/>
        <v>35251624.080966212</v>
      </c>
    </row>
    <row r="116" spans="1:7">
      <c r="A116" s="20">
        <f t="shared" si="11"/>
        <v>95</v>
      </c>
      <c r="B116" s="21">
        <f t="shared" si="7"/>
        <v>44287</v>
      </c>
      <c r="C116" s="22">
        <f t="shared" si="12"/>
        <v>96565471.343377411</v>
      </c>
      <c r="D116" s="22">
        <f t="shared" si="8"/>
        <v>342002.71100779501</v>
      </c>
      <c r="E116" s="22">
        <f t="shared" si="9"/>
        <v>219084.44979814318</v>
      </c>
      <c r="F116" s="22">
        <f t="shared" si="10"/>
        <v>96346386.893579274</v>
      </c>
      <c r="G116" s="22">
        <f t="shared" si="13"/>
        <v>35593626.791974008</v>
      </c>
    </row>
    <row r="117" spans="1:7">
      <c r="A117" s="20">
        <f t="shared" si="11"/>
        <v>96</v>
      </c>
      <c r="B117" s="21">
        <f t="shared" si="7"/>
        <v>44317</v>
      </c>
      <c r="C117" s="22">
        <f t="shared" si="12"/>
        <v>96346386.893579274</v>
      </c>
      <c r="D117" s="22">
        <f t="shared" si="8"/>
        <v>341226.78691475996</v>
      </c>
      <c r="E117" s="22">
        <f t="shared" si="9"/>
        <v>219860.37389117823</v>
      </c>
      <c r="F117" s="22">
        <f t="shared" si="10"/>
        <v>96126526.5196881</v>
      </c>
      <c r="G117" s="22">
        <f t="shared" si="13"/>
        <v>35934853.578888766</v>
      </c>
    </row>
    <row r="118" spans="1:7">
      <c r="A118" s="20">
        <f t="shared" si="11"/>
        <v>97</v>
      </c>
      <c r="B118" s="21">
        <f t="shared" si="7"/>
        <v>44348</v>
      </c>
      <c r="C118" s="22">
        <f t="shared" si="12"/>
        <v>96126526.5196881</v>
      </c>
      <c r="D118" s="22">
        <f t="shared" si="8"/>
        <v>340448.1147572287</v>
      </c>
      <c r="E118" s="22">
        <f t="shared" si="9"/>
        <v>220639.04604870948</v>
      </c>
      <c r="F118" s="22">
        <f t="shared" si="10"/>
        <v>95905887.473639384</v>
      </c>
      <c r="G118" s="22">
        <f t="shared" si="13"/>
        <v>36275301.693645999</v>
      </c>
    </row>
    <row r="119" spans="1:7">
      <c r="A119" s="20">
        <f t="shared" si="11"/>
        <v>98</v>
      </c>
      <c r="B119" s="21">
        <f t="shared" si="7"/>
        <v>44378</v>
      </c>
      <c r="C119" s="22">
        <f t="shared" si="12"/>
        <v>95905887.473639384</v>
      </c>
      <c r="D119" s="22">
        <f t="shared" si="8"/>
        <v>339666.68480247282</v>
      </c>
      <c r="E119" s="22">
        <f t="shared" si="9"/>
        <v>221420.47600346536</v>
      </c>
      <c r="F119" s="22">
        <f t="shared" si="10"/>
        <v>95684466.997635916</v>
      </c>
      <c r="G119" s="22">
        <f t="shared" si="13"/>
        <v>36614968.378448471</v>
      </c>
    </row>
    <row r="120" spans="1:7">
      <c r="A120" s="20">
        <f t="shared" si="11"/>
        <v>99</v>
      </c>
      <c r="B120" s="21">
        <f t="shared" si="7"/>
        <v>44409</v>
      </c>
      <c r="C120" s="22">
        <f t="shared" si="12"/>
        <v>95684466.997635916</v>
      </c>
      <c r="D120" s="22">
        <f t="shared" si="8"/>
        <v>338882.48728329391</v>
      </c>
      <c r="E120" s="22">
        <f t="shared" si="9"/>
        <v>222204.67352264427</v>
      </c>
      <c r="F120" s="22">
        <f t="shared" si="10"/>
        <v>95462262.324113265</v>
      </c>
      <c r="G120" s="22">
        <f t="shared" si="13"/>
        <v>36953850.865731768</v>
      </c>
    </row>
    <row r="121" spans="1:7">
      <c r="A121" s="20">
        <f t="shared" si="11"/>
        <v>100</v>
      </c>
      <c r="B121" s="21">
        <f t="shared" si="7"/>
        <v>44440</v>
      </c>
      <c r="C121" s="22">
        <f t="shared" si="12"/>
        <v>95462262.324113265</v>
      </c>
      <c r="D121" s="22">
        <f t="shared" si="8"/>
        <v>338095.51239790116</v>
      </c>
      <c r="E121" s="22">
        <f t="shared" si="9"/>
        <v>222991.64840803703</v>
      </c>
      <c r="F121" s="22">
        <f t="shared" si="10"/>
        <v>95239270.675705224</v>
      </c>
      <c r="G121" s="22">
        <f t="shared" si="13"/>
        <v>37291946.378129669</v>
      </c>
    </row>
    <row r="122" spans="1:7">
      <c r="A122" s="20">
        <f t="shared" si="11"/>
        <v>101</v>
      </c>
      <c r="B122" s="21">
        <f t="shared" si="7"/>
        <v>44470</v>
      </c>
      <c r="C122" s="22">
        <f t="shared" si="12"/>
        <v>95239270.675705224</v>
      </c>
      <c r="D122" s="22">
        <f t="shared" si="8"/>
        <v>337305.75030978938</v>
      </c>
      <c r="E122" s="22">
        <f t="shared" si="9"/>
        <v>223781.4104961488</v>
      </c>
      <c r="F122" s="22">
        <f t="shared" si="10"/>
        <v>95015489.265209079</v>
      </c>
      <c r="G122" s="22">
        <f t="shared" si="13"/>
        <v>37629252.128439456</v>
      </c>
    </row>
    <row r="123" spans="1:7">
      <c r="A123" s="20">
        <f t="shared" si="11"/>
        <v>102</v>
      </c>
      <c r="B123" s="21">
        <f t="shared" si="7"/>
        <v>44501</v>
      </c>
      <c r="C123" s="22">
        <f t="shared" si="12"/>
        <v>95015489.265209079</v>
      </c>
      <c r="D123" s="22">
        <f t="shared" si="8"/>
        <v>336513.19114761549</v>
      </c>
      <c r="E123" s="22">
        <f t="shared" si="9"/>
        <v>224573.96965832269</v>
      </c>
      <c r="F123" s="22">
        <f t="shared" si="10"/>
        <v>94790915.295550749</v>
      </c>
      <c r="G123" s="22">
        <f t="shared" si="13"/>
        <v>37965765.319587074</v>
      </c>
    </row>
    <row r="124" spans="1:7">
      <c r="A124" s="20">
        <f t="shared" si="11"/>
        <v>103</v>
      </c>
      <c r="B124" s="21">
        <f t="shared" si="7"/>
        <v>44531</v>
      </c>
      <c r="C124" s="22">
        <f t="shared" si="12"/>
        <v>94790915.295550749</v>
      </c>
      <c r="D124" s="22">
        <f t="shared" si="8"/>
        <v>335717.8250050756</v>
      </c>
      <c r="E124" s="22">
        <f t="shared" si="9"/>
        <v>225369.33580086258</v>
      </c>
      <c r="F124" s="22">
        <f t="shared" si="10"/>
        <v>94565545.959749892</v>
      </c>
      <c r="G124" s="22">
        <f t="shared" si="13"/>
        <v>38301483.144592151</v>
      </c>
    </row>
    <row r="125" spans="1:7">
      <c r="A125" s="20">
        <f t="shared" si="11"/>
        <v>104</v>
      </c>
      <c r="B125" s="21">
        <f t="shared" si="7"/>
        <v>44562</v>
      </c>
      <c r="C125" s="22">
        <f t="shared" si="12"/>
        <v>94565545.959749892</v>
      </c>
      <c r="D125" s="22">
        <f t="shared" si="8"/>
        <v>334919.64194078092</v>
      </c>
      <c r="E125" s="22">
        <f t="shared" si="9"/>
        <v>226167.51886515727</v>
      </c>
      <c r="F125" s="22">
        <f t="shared" si="10"/>
        <v>94339378.440884739</v>
      </c>
      <c r="G125" s="22">
        <f t="shared" si="13"/>
        <v>38636402.786532931</v>
      </c>
    </row>
    <row r="126" spans="1:7">
      <c r="A126" s="20">
        <f t="shared" si="11"/>
        <v>105</v>
      </c>
      <c r="B126" s="21">
        <f t="shared" si="7"/>
        <v>44593</v>
      </c>
      <c r="C126" s="22">
        <f t="shared" si="12"/>
        <v>94339378.440884739</v>
      </c>
      <c r="D126" s="22">
        <f t="shared" si="8"/>
        <v>334118.63197813346</v>
      </c>
      <c r="E126" s="22">
        <f t="shared" si="9"/>
        <v>226968.52882780472</v>
      </c>
      <c r="F126" s="22">
        <f t="shared" si="10"/>
        <v>94112409.912056938</v>
      </c>
      <c r="G126" s="22">
        <f t="shared" si="13"/>
        <v>38970521.418511063</v>
      </c>
    </row>
    <row r="127" spans="1:7">
      <c r="A127" s="20">
        <f t="shared" si="11"/>
        <v>106</v>
      </c>
      <c r="B127" s="21">
        <f t="shared" si="7"/>
        <v>44621</v>
      </c>
      <c r="C127" s="22">
        <f t="shared" si="12"/>
        <v>94112409.912056938</v>
      </c>
      <c r="D127" s="22">
        <f t="shared" si="8"/>
        <v>333314.78510520171</v>
      </c>
      <c r="E127" s="22">
        <f t="shared" si="9"/>
        <v>227772.37570073648</v>
      </c>
      <c r="F127" s="22">
        <f t="shared" si="10"/>
        <v>93884637.536356196</v>
      </c>
      <c r="G127" s="22">
        <f t="shared" si="13"/>
        <v>39303836.203616261</v>
      </c>
    </row>
    <row r="128" spans="1:7">
      <c r="A128" s="20">
        <f t="shared" si="11"/>
        <v>107</v>
      </c>
      <c r="B128" s="21">
        <f t="shared" si="7"/>
        <v>44652</v>
      </c>
      <c r="C128" s="22">
        <f t="shared" si="12"/>
        <v>93884637.536356196</v>
      </c>
      <c r="D128" s="22">
        <f t="shared" si="8"/>
        <v>332508.09127459489</v>
      </c>
      <c r="E128" s="22">
        <f t="shared" si="9"/>
        <v>228579.0695313433</v>
      </c>
      <c r="F128" s="22">
        <f t="shared" si="10"/>
        <v>93656058.466824859</v>
      </c>
      <c r="G128" s="22">
        <f t="shared" si="13"/>
        <v>39636344.294890858</v>
      </c>
    </row>
    <row r="129" spans="1:14">
      <c r="A129" s="20">
        <f t="shared" si="11"/>
        <v>108</v>
      </c>
      <c r="B129" s="21">
        <f t="shared" si="7"/>
        <v>44682</v>
      </c>
      <c r="C129" s="22">
        <f t="shared" si="12"/>
        <v>93656058.466824859</v>
      </c>
      <c r="D129" s="22">
        <f t="shared" si="8"/>
        <v>331698.54040333809</v>
      </c>
      <c r="E129" s="22">
        <f t="shared" si="9"/>
        <v>229388.62040260009</v>
      </c>
      <c r="F129" s="22">
        <f t="shared" si="10"/>
        <v>93426669.846422255</v>
      </c>
      <c r="G129" s="22">
        <f t="shared" si="13"/>
        <v>39968042.835294195</v>
      </c>
    </row>
    <row r="130" spans="1:14">
      <c r="A130" s="20">
        <f t="shared" si="11"/>
        <v>109</v>
      </c>
      <c r="B130" s="21">
        <f t="shared" si="7"/>
        <v>44713</v>
      </c>
      <c r="C130" s="22">
        <f t="shared" si="12"/>
        <v>93426669.846422255</v>
      </c>
      <c r="D130" s="22">
        <f t="shared" si="8"/>
        <v>330886.12237274554</v>
      </c>
      <c r="E130" s="22">
        <f t="shared" si="9"/>
        <v>230201.03843319265</v>
      </c>
      <c r="F130" s="22">
        <f t="shared" si="10"/>
        <v>93196468.807989061</v>
      </c>
      <c r="G130" s="22">
        <f t="shared" si="13"/>
        <v>40298928.957666941</v>
      </c>
    </row>
    <row r="131" spans="1:14">
      <c r="A131" s="20">
        <f t="shared" si="11"/>
        <v>110</v>
      </c>
      <c r="B131" s="21">
        <f t="shared" si="7"/>
        <v>44743</v>
      </c>
      <c r="C131" s="22">
        <f t="shared" si="12"/>
        <v>93196468.807989061</v>
      </c>
      <c r="D131" s="22">
        <f t="shared" si="8"/>
        <v>330070.82702829462</v>
      </c>
      <c r="E131" s="22">
        <f t="shared" si="9"/>
        <v>231016.33377764357</v>
      </c>
      <c r="F131" s="22">
        <f t="shared" si="10"/>
        <v>92965452.474211425</v>
      </c>
      <c r="G131" s="22">
        <f t="shared" si="13"/>
        <v>40628999.784695238</v>
      </c>
    </row>
    <row r="132" spans="1:14">
      <c r="A132" s="20">
        <f t="shared" si="11"/>
        <v>111</v>
      </c>
      <c r="B132" s="21">
        <f t="shared" si="7"/>
        <v>44774</v>
      </c>
      <c r="C132" s="22">
        <f t="shared" si="12"/>
        <v>92965452.474211425</v>
      </c>
      <c r="D132" s="22">
        <f t="shared" si="8"/>
        <v>329252.64417949884</v>
      </c>
      <c r="E132" s="22">
        <f t="shared" si="9"/>
        <v>231834.51662643935</v>
      </c>
      <c r="F132" s="22">
        <f t="shared" si="10"/>
        <v>92733617.957584992</v>
      </c>
      <c r="G132" s="22">
        <f t="shared" si="13"/>
        <v>40958252.428874739</v>
      </c>
    </row>
    <row r="133" spans="1:14">
      <c r="A133" s="20">
        <f t="shared" si="11"/>
        <v>112</v>
      </c>
      <c r="B133" s="21">
        <f t="shared" si="7"/>
        <v>44805</v>
      </c>
      <c r="C133" s="22">
        <f t="shared" si="12"/>
        <v>92733617.957584992</v>
      </c>
      <c r="D133" s="22">
        <f t="shared" si="8"/>
        <v>328431.5635997802</v>
      </c>
      <c r="E133" s="22">
        <f t="shared" si="9"/>
        <v>232655.59720615798</v>
      </c>
      <c r="F133" s="22">
        <f t="shared" si="10"/>
        <v>92500962.360378832</v>
      </c>
      <c r="G133" s="22">
        <f t="shared" si="13"/>
        <v>41286683.992474519</v>
      </c>
    </row>
    <row r="134" spans="1:14">
      <c r="A134" s="20">
        <f t="shared" si="11"/>
        <v>113</v>
      </c>
      <c r="B134" s="21">
        <f t="shared" si="7"/>
        <v>44835</v>
      </c>
      <c r="C134" s="22">
        <f t="shared" si="12"/>
        <v>92500962.360378832</v>
      </c>
      <c r="D134" s="22">
        <f t="shared" si="8"/>
        <v>327607.57502634171</v>
      </c>
      <c r="E134" s="22">
        <f t="shared" si="9"/>
        <v>233479.58577959647</v>
      </c>
      <c r="F134" s="22">
        <f t="shared" si="10"/>
        <v>92267482.774599239</v>
      </c>
      <c r="G134" s="22">
        <f t="shared" si="13"/>
        <v>41614291.567500859</v>
      </c>
    </row>
    <row r="135" spans="1:14">
      <c r="A135" s="20">
        <f t="shared" si="11"/>
        <v>114</v>
      </c>
      <c r="B135" s="21">
        <f t="shared" si="7"/>
        <v>44866</v>
      </c>
      <c r="C135" s="22">
        <f t="shared" si="12"/>
        <v>92267482.774599239</v>
      </c>
      <c r="D135" s="22">
        <f t="shared" si="8"/>
        <v>326780.668160039</v>
      </c>
      <c r="E135" s="22">
        <f t="shared" si="9"/>
        <v>234306.49264589918</v>
      </c>
      <c r="F135" s="22">
        <f t="shared" si="10"/>
        <v>92033176.281953335</v>
      </c>
      <c r="G135" s="22">
        <f t="shared" si="13"/>
        <v>41941072.235660896</v>
      </c>
    </row>
    <row r="136" spans="1:14">
      <c r="A136" s="20">
        <f t="shared" si="11"/>
        <v>115</v>
      </c>
      <c r="B136" s="21">
        <f t="shared" si="7"/>
        <v>44896</v>
      </c>
      <c r="C136" s="22">
        <f t="shared" si="12"/>
        <v>92033176.281953335</v>
      </c>
      <c r="D136" s="22">
        <f t="shared" si="8"/>
        <v>325950.83266525139</v>
      </c>
      <c r="E136" s="22">
        <f t="shared" si="9"/>
        <v>235136.32814068679</v>
      </c>
      <c r="F136" s="22">
        <f t="shared" si="10"/>
        <v>91798039.953812644</v>
      </c>
      <c r="G136" s="22">
        <f t="shared" si="13"/>
        <v>42267023.068326145</v>
      </c>
    </row>
    <row r="137" spans="1:14">
      <c r="A137" s="20">
        <f t="shared" si="11"/>
        <v>116</v>
      </c>
      <c r="B137" s="21">
        <f t="shared" si="7"/>
        <v>44927</v>
      </c>
      <c r="C137" s="22">
        <f t="shared" si="12"/>
        <v>91798039.953812644</v>
      </c>
      <c r="D137" s="22">
        <f t="shared" si="8"/>
        <v>325118.05816975312</v>
      </c>
      <c r="E137" s="22">
        <f t="shared" si="9"/>
        <v>235969.10263618507</v>
      </c>
      <c r="F137" s="22">
        <f t="shared" si="10"/>
        <v>91562070.851176456</v>
      </c>
      <c r="G137" s="22">
        <f t="shared" si="13"/>
        <v>42592141.126495898</v>
      </c>
    </row>
    <row r="138" spans="1:14">
      <c r="A138" s="20">
        <f t="shared" si="11"/>
        <v>117</v>
      </c>
      <c r="B138" s="21">
        <f t="shared" si="7"/>
        <v>44958</v>
      </c>
      <c r="C138" s="22">
        <f t="shared" si="12"/>
        <v>91562070.851176456</v>
      </c>
      <c r="D138" s="22">
        <f t="shared" si="8"/>
        <v>324282.3342645833</v>
      </c>
      <c r="E138" s="22">
        <f t="shared" si="9"/>
        <v>236804.82654135488</v>
      </c>
      <c r="F138" s="22">
        <f t="shared" si="10"/>
        <v>91325266.024635106</v>
      </c>
      <c r="G138" s="22">
        <f t="shared" si="13"/>
        <v>42916423.460760482</v>
      </c>
    </row>
    <row r="139" spans="1:14">
      <c r="A139" s="20">
        <f t="shared" si="11"/>
        <v>118</v>
      </c>
      <c r="B139" s="21">
        <f t="shared" si="7"/>
        <v>44986</v>
      </c>
      <c r="C139" s="22">
        <f t="shared" si="12"/>
        <v>91325266.024635106</v>
      </c>
      <c r="D139" s="22">
        <f t="shared" si="8"/>
        <v>323443.65050391603</v>
      </c>
      <c r="E139" s="22">
        <f t="shared" si="9"/>
        <v>237643.51030202216</v>
      </c>
      <c r="F139" s="22">
        <f t="shared" si="10"/>
        <v>91087622.514333084</v>
      </c>
      <c r="G139" s="22">
        <f t="shared" si="13"/>
        <v>43239867.1112644</v>
      </c>
    </row>
    <row r="140" spans="1:14">
      <c r="A140" s="20">
        <f t="shared" si="11"/>
        <v>119</v>
      </c>
      <c r="B140" s="21">
        <f t="shared" si="7"/>
        <v>45017</v>
      </c>
      <c r="C140" s="22">
        <f t="shared" si="12"/>
        <v>91087622.514333084</v>
      </c>
      <c r="D140" s="22">
        <f t="shared" si="8"/>
        <v>322601.99640492967</v>
      </c>
      <c r="E140" s="22">
        <f t="shared" si="9"/>
        <v>238485.16440100851</v>
      </c>
      <c r="F140" s="22">
        <f t="shared" si="10"/>
        <v>90849137.349932075</v>
      </c>
      <c r="G140" s="22">
        <f t="shared" si="13"/>
        <v>43562469.107669331</v>
      </c>
    </row>
    <row r="141" spans="1:14">
      <c r="A141" s="31">
        <f t="shared" si="11"/>
        <v>120</v>
      </c>
      <c r="B141" s="32">
        <f t="shared" si="7"/>
        <v>45047</v>
      </c>
      <c r="C141" s="33">
        <f t="shared" si="12"/>
        <v>90849137.349932075</v>
      </c>
      <c r="D141" s="33">
        <f t="shared" si="8"/>
        <v>321757.36144767614</v>
      </c>
      <c r="E141" s="33">
        <f t="shared" si="9"/>
        <v>239329.79935826204</v>
      </c>
      <c r="F141" s="33">
        <f t="shared" si="10"/>
        <v>90609807.550573811</v>
      </c>
      <c r="G141" s="33">
        <f t="shared" si="13"/>
        <v>43884226.469117008</v>
      </c>
      <c r="H141" s="34"/>
      <c r="I141" s="34"/>
      <c r="J141" s="34"/>
      <c r="K141" s="34"/>
      <c r="L141" s="34"/>
      <c r="M141" s="34"/>
      <c r="N141" s="34"/>
    </row>
    <row r="142" spans="1:14">
      <c r="A142" s="20">
        <f t="shared" si="11"/>
        <v>121</v>
      </c>
      <c r="B142" s="21">
        <f t="shared" si="7"/>
        <v>45078</v>
      </c>
      <c r="C142" s="22">
        <f t="shared" si="12"/>
        <v>90609807.550573811</v>
      </c>
      <c r="D142" s="22">
        <f t="shared" si="8"/>
        <v>320909.73507494893</v>
      </c>
      <c r="E142" s="22">
        <f t="shared" si="9"/>
        <v>240177.42573098926</v>
      </c>
      <c r="F142" s="22">
        <f t="shared" si="10"/>
        <v>90369630.124842823</v>
      </c>
      <c r="G142" s="22">
        <f t="shared" si="13"/>
        <v>44205136.20419196</v>
      </c>
    </row>
    <row r="143" spans="1:14">
      <c r="A143" s="20">
        <f t="shared" si="11"/>
        <v>122</v>
      </c>
      <c r="B143" s="21">
        <f t="shared" si="7"/>
        <v>45108</v>
      </c>
      <c r="C143" s="22">
        <f t="shared" si="12"/>
        <v>90369630.124842823</v>
      </c>
      <c r="D143" s="22">
        <f t="shared" si="8"/>
        <v>320059.10669215169</v>
      </c>
      <c r="E143" s="22">
        <f t="shared" si="9"/>
        <v>241028.05411378649</v>
      </c>
      <c r="F143" s="22">
        <f t="shared" si="10"/>
        <v>90128602.070729032</v>
      </c>
      <c r="G143" s="22">
        <f t="shared" si="13"/>
        <v>44525195.310884111</v>
      </c>
    </row>
    <row r="144" spans="1:14">
      <c r="A144" s="20">
        <f t="shared" si="11"/>
        <v>123</v>
      </c>
      <c r="B144" s="21">
        <f t="shared" si="7"/>
        <v>45139</v>
      </c>
      <c r="C144" s="22">
        <f t="shared" si="12"/>
        <v>90128602.070729032</v>
      </c>
      <c r="D144" s="22">
        <f t="shared" si="8"/>
        <v>319205.46566716535</v>
      </c>
      <c r="E144" s="22">
        <f t="shared" si="9"/>
        <v>241881.69513877283</v>
      </c>
      <c r="F144" s="22">
        <f t="shared" si="10"/>
        <v>89886720.375590265</v>
      </c>
      <c r="G144" s="22">
        <f t="shared" si="13"/>
        <v>44844400.776551276</v>
      </c>
    </row>
    <row r="145" spans="1:7">
      <c r="A145" s="20">
        <f t="shared" si="11"/>
        <v>124</v>
      </c>
      <c r="B145" s="21">
        <f t="shared" si="7"/>
        <v>45170</v>
      </c>
      <c r="C145" s="22">
        <f t="shared" si="12"/>
        <v>89886720.375590265</v>
      </c>
      <c r="D145" s="22">
        <f t="shared" si="8"/>
        <v>318348.80133021553</v>
      </c>
      <c r="E145" s="22">
        <f t="shared" si="9"/>
        <v>242738.35947572265</v>
      </c>
      <c r="F145" s="22">
        <f t="shared" si="10"/>
        <v>89643982.016114548</v>
      </c>
      <c r="G145" s="22">
        <f t="shared" si="13"/>
        <v>45162749.577881493</v>
      </c>
    </row>
    <row r="146" spans="1:7">
      <c r="A146" s="20">
        <f t="shared" si="11"/>
        <v>125</v>
      </c>
      <c r="B146" s="21">
        <f t="shared" si="7"/>
        <v>45200</v>
      </c>
      <c r="C146" s="22">
        <f t="shared" si="12"/>
        <v>89643982.016114548</v>
      </c>
      <c r="D146" s="22">
        <f t="shared" si="8"/>
        <v>317489.10297373903</v>
      </c>
      <c r="E146" s="22">
        <f t="shared" si="9"/>
        <v>243598.05783219915</v>
      </c>
      <c r="F146" s="22">
        <f t="shared" si="10"/>
        <v>89400383.958282351</v>
      </c>
      <c r="G146" s="22">
        <f t="shared" si="13"/>
        <v>45480238.680855229</v>
      </c>
    </row>
    <row r="147" spans="1:7">
      <c r="A147" s="20">
        <f t="shared" si="11"/>
        <v>126</v>
      </c>
      <c r="B147" s="21">
        <f t="shared" si="7"/>
        <v>45231</v>
      </c>
      <c r="C147" s="22">
        <f t="shared" si="12"/>
        <v>89400383.958282351</v>
      </c>
      <c r="D147" s="22">
        <f t="shared" si="8"/>
        <v>316626.35985225003</v>
      </c>
      <c r="E147" s="22">
        <f t="shared" si="9"/>
        <v>244460.80095368816</v>
      </c>
      <c r="F147" s="22">
        <f t="shared" si="10"/>
        <v>89155923.157328665</v>
      </c>
      <c r="G147" s="22">
        <f t="shared" si="13"/>
        <v>45796865.040707476</v>
      </c>
    </row>
    <row r="148" spans="1:7">
      <c r="A148" s="20">
        <f t="shared" si="11"/>
        <v>127</v>
      </c>
      <c r="B148" s="21">
        <f t="shared" si="7"/>
        <v>45261</v>
      </c>
      <c r="C148" s="22">
        <f t="shared" si="12"/>
        <v>89155923.157328665</v>
      </c>
      <c r="D148" s="22">
        <f t="shared" si="8"/>
        <v>315760.56118220574</v>
      </c>
      <c r="E148" s="22">
        <f t="shared" si="9"/>
        <v>245326.59962373244</v>
      </c>
      <c r="F148" s="22">
        <f t="shared" si="10"/>
        <v>88910596.557704926</v>
      </c>
      <c r="G148" s="22">
        <f t="shared" si="13"/>
        <v>46112625.601889685</v>
      </c>
    </row>
    <row r="149" spans="1:7">
      <c r="A149" s="20">
        <f t="shared" si="11"/>
        <v>128</v>
      </c>
      <c r="B149" s="21">
        <f t="shared" si="7"/>
        <v>45292</v>
      </c>
      <c r="C149" s="22">
        <f t="shared" si="12"/>
        <v>88910596.557704926</v>
      </c>
      <c r="D149" s="22">
        <f t="shared" si="8"/>
        <v>314891.69614187162</v>
      </c>
      <c r="E149" s="22">
        <f t="shared" si="9"/>
        <v>246195.46466406656</v>
      </c>
      <c r="F149" s="22">
        <f t="shared" si="10"/>
        <v>88664401.093040854</v>
      </c>
      <c r="G149" s="22">
        <f t="shared" si="13"/>
        <v>46427517.298031554</v>
      </c>
    </row>
    <row r="150" spans="1:7">
      <c r="A150" s="20">
        <f t="shared" si="11"/>
        <v>129</v>
      </c>
      <c r="B150" s="21">
        <f t="shared" ref="B150:B213" si="14">Show.Date</f>
        <v>45323</v>
      </c>
      <c r="C150" s="22">
        <f t="shared" si="12"/>
        <v>88664401.093040854</v>
      </c>
      <c r="D150" s="22">
        <f t="shared" ref="D150:D213" si="15">Interest</f>
        <v>314019.7538711864</v>
      </c>
      <c r="E150" s="22">
        <f t="shared" ref="E150:E213" si="16">Principal+H150</f>
        <v>247067.40693475178</v>
      </c>
      <c r="F150" s="22">
        <f t="shared" ref="F150:F213" si="17">Ending.Balance</f>
        <v>88417333.686106101</v>
      </c>
      <c r="G150" s="22">
        <f t="shared" si="13"/>
        <v>46741537.051902741</v>
      </c>
    </row>
    <row r="151" spans="1:7">
      <c r="A151" s="20">
        <f t="shared" ref="A151:A214" si="18">payment.Num</f>
        <v>130</v>
      </c>
      <c r="B151" s="21">
        <f t="shared" si="14"/>
        <v>45352</v>
      </c>
      <c r="C151" s="22">
        <f t="shared" ref="C151:C214" si="19">Beg.Bal</f>
        <v>88417333.686106101</v>
      </c>
      <c r="D151" s="22">
        <f t="shared" si="15"/>
        <v>313144.72347162582</v>
      </c>
      <c r="E151" s="22">
        <f t="shared" si="16"/>
        <v>247942.43733431236</v>
      </c>
      <c r="F151" s="22">
        <f t="shared" si="17"/>
        <v>88169391.248771787</v>
      </c>
      <c r="G151" s="22">
        <f t="shared" ref="G151:G214" si="20">Cum.Interest</f>
        <v>47054681.775374368</v>
      </c>
    </row>
    <row r="152" spans="1:7">
      <c r="A152" s="20">
        <f t="shared" si="18"/>
        <v>131</v>
      </c>
      <c r="B152" s="21">
        <f t="shared" si="14"/>
        <v>45383</v>
      </c>
      <c r="C152" s="22">
        <f t="shared" si="19"/>
        <v>88169391.248771787</v>
      </c>
      <c r="D152" s="22">
        <f t="shared" si="15"/>
        <v>312266.59400606679</v>
      </c>
      <c r="E152" s="22">
        <f t="shared" si="16"/>
        <v>248820.56679987139</v>
      </c>
      <c r="F152" s="22">
        <f t="shared" si="17"/>
        <v>87920570.681971923</v>
      </c>
      <c r="G152" s="22">
        <f t="shared" si="20"/>
        <v>47366948.369380437</v>
      </c>
    </row>
    <row r="153" spans="1:7">
      <c r="A153" s="20">
        <f t="shared" si="18"/>
        <v>132</v>
      </c>
      <c r="B153" s="21">
        <f t="shared" si="14"/>
        <v>45413</v>
      </c>
      <c r="C153" s="22">
        <f t="shared" si="19"/>
        <v>87920570.681971923</v>
      </c>
      <c r="D153" s="22">
        <f t="shared" si="15"/>
        <v>311385.35449865059</v>
      </c>
      <c r="E153" s="22">
        <f t="shared" si="16"/>
        <v>249701.8063072876</v>
      </c>
      <c r="F153" s="22">
        <f t="shared" si="17"/>
        <v>87670868.875664636</v>
      </c>
      <c r="G153" s="22">
        <f t="shared" si="20"/>
        <v>47678333.723879084</v>
      </c>
    </row>
    <row r="154" spans="1:7">
      <c r="A154" s="20">
        <f t="shared" si="18"/>
        <v>133</v>
      </c>
      <c r="B154" s="21">
        <f t="shared" si="14"/>
        <v>45444</v>
      </c>
      <c r="C154" s="22">
        <f t="shared" si="19"/>
        <v>87670868.875664636</v>
      </c>
      <c r="D154" s="22">
        <f t="shared" si="15"/>
        <v>310500.99393464561</v>
      </c>
      <c r="E154" s="22">
        <f t="shared" si="16"/>
        <v>250586.16687129257</v>
      </c>
      <c r="F154" s="22">
        <f t="shared" si="17"/>
        <v>87420282.708793342</v>
      </c>
      <c r="G154" s="22">
        <f t="shared" si="20"/>
        <v>47988834.71781373</v>
      </c>
    </row>
    <row r="155" spans="1:7">
      <c r="A155" s="20">
        <f t="shared" si="18"/>
        <v>134</v>
      </c>
      <c r="B155" s="21">
        <f t="shared" si="14"/>
        <v>45474</v>
      </c>
      <c r="C155" s="22">
        <f t="shared" si="19"/>
        <v>87420282.708793342</v>
      </c>
      <c r="D155" s="22">
        <f t="shared" si="15"/>
        <v>309613.50126030977</v>
      </c>
      <c r="E155" s="22">
        <f t="shared" si="16"/>
        <v>251473.65954562841</v>
      </c>
      <c r="F155" s="22">
        <f t="shared" si="17"/>
        <v>87168809.049247712</v>
      </c>
      <c r="G155" s="22">
        <f t="shared" si="20"/>
        <v>48298448.219074041</v>
      </c>
    </row>
    <row r="156" spans="1:7">
      <c r="A156" s="20">
        <f t="shared" si="18"/>
        <v>135</v>
      </c>
      <c r="B156" s="21">
        <f t="shared" si="14"/>
        <v>45505</v>
      </c>
      <c r="C156" s="22">
        <f t="shared" si="19"/>
        <v>87168809.049247712</v>
      </c>
      <c r="D156" s="22">
        <f t="shared" si="15"/>
        <v>308722.86538275232</v>
      </c>
      <c r="E156" s="22">
        <f t="shared" si="16"/>
        <v>252364.29542318586</v>
      </c>
      <c r="F156" s="22">
        <f t="shared" si="17"/>
        <v>86916444.753824532</v>
      </c>
      <c r="G156" s="22">
        <f t="shared" si="20"/>
        <v>48607171.084456794</v>
      </c>
    </row>
    <row r="157" spans="1:7">
      <c r="A157" s="20">
        <f t="shared" si="18"/>
        <v>136</v>
      </c>
      <c r="B157" s="21">
        <f t="shared" si="14"/>
        <v>45536</v>
      </c>
      <c r="C157" s="22">
        <f t="shared" si="19"/>
        <v>86916444.753824532</v>
      </c>
      <c r="D157" s="22">
        <f t="shared" si="15"/>
        <v>307829.07516979525</v>
      </c>
      <c r="E157" s="22">
        <f t="shared" si="16"/>
        <v>253258.08563614293</v>
      </c>
      <c r="F157" s="22">
        <f t="shared" si="17"/>
        <v>86663186.668188393</v>
      </c>
      <c r="G157" s="22">
        <f t="shared" si="20"/>
        <v>48915000.159626588</v>
      </c>
    </row>
    <row r="158" spans="1:7">
      <c r="A158" s="20">
        <f t="shared" si="18"/>
        <v>137</v>
      </c>
      <c r="B158" s="21">
        <f t="shared" si="14"/>
        <v>45566</v>
      </c>
      <c r="C158" s="22">
        <f t="shared" si="19"/>
        <v>86663186.668188393</v>
      </c>
      <c r="D158" s="22">
        <f t="shared" si="15"/>
        <v>306932.11944983393</v>
      </c>
      <c r="E158" s="22">
        <f t="shared" si="16"/>
        <v>254155.04135610425</v>
      </c>
      <c r="F158" s="22">
        <f t="shared" si="17"/>
        <v>86409031.626832291</v>
      </c>
      <c r="G158" s="22">
        <f t="shared" si="20"/>
        <v>49221932.27907642</v>
      </c>
    </row>
    <row r="159" spans="1:7">
      <c r="A159" s="20">
        <f t="shared" si="18"/>
        <v>138</v>
      </c>
      <c r="B159" s="21">
        <f t="shared" si="14"/>
        <v>45597</v>
      </c>
      <c r="C159" s="22">
        <f t="shared" si="19"/>
        <v>86409031.626832291</v>
      </c>
      <c r="D159" s="22">
        <f t="shared" si="15"/>
        <v>306031.98701169773</v>
      </c>
      <c r="E159" s="22">
        <f t="shared" si="16"/>
        <v>255055.17379424046</v>
      </c>
      <c r="F159" s="22">
        <f t="shared" si="17"/>
        <v>86153976.453038052</v>
      </c>
      <c r="G159" s="22">
        <f t="shared" si="20"/>
        <v>49527964.266088121</v>
      </c>
    </row>
    <row r="160" spans="1:7">
      <c r="A160" s="20">
        <f t="shared" si="18"/>
        <v>139</v>
      </c>
      <c r="B160" s="21">
        <f t="shared" si="14"/>
        <v>45627</v>
      </c>
      <c r="C160" s="22">
        <f t="shared" si="19"/>
        <v>86153976.453038052</v>
      </c>
      <c r="D160" s="22">
        <f t="shared" si="15"/>
        <v>305128.66660450981</v>
      </c>
      <c r="E160" s="22">
        <f t="shared" si="16"/>
        <v>255958.49420142837</v>
      </c>
      <c r="F160" s="22">
        <f t="shared" si="17"/>
        <v>85898017.95883663</v>
      </c>
      <c r="G160" s="22">
        <f t="shared" si="20"/>
        <v>49833092.932692632</v>
      </c>
    </row>
    <row r="161" spans="1:7">
      <c r="A161" s="20">
        <f t="shared" si="18"/>
        <v>140</v>
      </c>
      <c r="B161" s="21">
        <f t="shared" si="14"/>
        <v>45658</v>
      </c>
      <c r="C161" s="22">
        <f t="shared" si="19"/>
        <v>85898017.95883663</v>
      </c>
      <c r="D161" s="22">
        <f t="shared" si="15"/>
        <v>304222.14693754644</v>
      </c>
      <c r="E161" s="22">
        <f t="shared" si="16"/>
        <v>256865.01386839175</v>
      </c>
      <c r="F161" s="22">
        <f t="shared" si="17"/>
        <v>85641152.944968238</v>
      </c>
      <c r="G161" s="22">
        <f t="shared" si="20"/>
        <v>50137315.079630181</v>
      </c>
    </row>
    <row r="162" spans="1:7">
      <c r="A162" s="20">
        <f t="shared" si="18"/>
        <v>141</v>
      </c>
      <c r="B162" s="21">
        <f t="shared" si="14"/>
        <v>45689</v>
      </c>
      <c r="C162" s="22">
        <f t="shared" si="19"/>
        <v>85641152.944968238</v>
      </c>
      <c r="D162" s="22">
        <f t="shared" si="15"/>
        <v>303312.41668009589</v>
      </c>
      <c r="E162" s="22">
        <f t="shared" si="16"/>
        <v>257774.74412584229</v>
      </c>
      <c r="F162" s="22">
        <f t="shared" si="17"/>
        <v>85383378.200842395</v>
      </c>
      <c r="G162" s="22">
        <f t="shared" si="20"/>
        <v>50440627.496310279</v>
      </c>
    </row>
    <row r="163" spans="1:7">
      <c r="A163" s="20">
        <f t="shared" si="18"/>
        <v>142</v>
      </c>
      <c r="B163" s="21">
        <f t="shared" si="14"/>
        <v>45717</v>
      </c>
      <c r="C163" s="22">
        <f t="shared" si="19"/>
        <v>85383378.200842395</v>
      </c>
      <c r="D163" s="22">
        <f t="shared" si="15"/>
        <v>302399.46446131682</v>
      </c>
      <c r="E163" s="22">
        <f t="shared" si="16"/>
        <v>258687.69634462136</v>
      </c>
      <c r="F163" s="22">
        <f t="shared" si="17"/>
        <v>85124690.504497781</v>
      </c>
      <c r="G163" s="22">
        <f t="shared" si="20"/>
        <v>50743026.960771598</v>
      </c>
    </row>
    <row r="164" spans="1:7">
      <c r="A164" s="20">
        <f t="shared" si="18"/>
        <v>143</v>
      </c>
      <c r="B164" s="21">
        <f t="shared" si="14"/>
        <v>45748</v>
      </c>
      <c r="C164" s="22">
        <f t="shared" si="19"/>
        <v>85124690.504497781</v>
      </c>
      <c r="D164" s="22">
        <f t="shared" si="15"/>
        <v>301483.27887009631</v>
      </c>
      <c r="E164" s="22">
        <f t="shared" si="16"/>
        <v>259603.88193584187</v>
      </c>
      <c r="F164" s="22">
        <f t="shared" si="17"/>
        <v>84865086.622561947</v>
      </c>
      <c r="G164" s="22">
        <f t="shared" si="20"/>
        <v>51044510.239641696</v>
      </c>
    </row>
    <row r="165" spans="1:7">
      <c r="A165" s="20">
        <f t="shared" si="18"/>
        <v>144</v>
      </c>
      <c r="B165" s="21">
        <f t="shared" si="14"/>
        <v>45778</v>
      </c>
      <c r="C165" s="22">
        <f t="shared" si="19"/>
        <v>84865086.622561947</v>
      </c>
      <c r="D165" s="22">
        <f t="shared" si="15"/>
        <v>300563.8484549069</v>
      </c>
      <c r="E165" s="22">
        <f t="shared" si="16"/>
        <v>260523.31235103129</v>
      </c>
      <c r="F165" s="22">
        <f t="shared" si="17"/>
        <v>84604563.310210913</v>
      </c>
      <c r="G165" s="22">
        <f t="shared" si="20"/>
        <v>51345074.088096604</v>
      </c>
    </row>
    <row r="166" spans="1:7">
      <c r="A166" s="20">
        <f t="shared" si="18"/>
        <v>145</v>
      </c>
      <c r="B166" s="21">
        <f t="shared" si="14"/>
        <v>45809</v>
      </c>
      <c r="C166" s="22">
        <f t="shared" si="19"/>
        <v>84604563.310210913</v>
      </c>
      <c r="D166" s="22">
        <f t="shared" si="15"/>
        <v>299641.16172366368</v>
      </c>
      <c r="E166" s="22">
        <f t="shared" si="16"/>
        <v>261445.9990822745</v>
      </c>
      <c r="F166" s="22">
        <f t="shared" si="17"/>
        <v>84343117.311128646</v>
      </c>
      <c r="G166" s="22">
        <f t="shared" si="20"/>
        <v>51644715.24982027</v>
      </c>
    </row>
    <row r="167" spans="1:7">
      <c r="A167" s="20">
        <f t="shared" si="18"/>
        <v>146</v>
      </c>
      <c r="B167" s="21">
        <f t="shared" si="14"/>
        <v>45839</v>
      </c>
      <c r="C167" s="22">
        <f t="shared" si="19"/>
        <v>84343117.311128646</v>
      </c>
      <c r="D167" s="22">
        <f t="shared" si="15"/>
        <v>298715.20714358066</v>
      </c>
      <c r="E167" s="22">
        <f t="shared" si="16"/>
        <v>262371.95366235753</v>
      </c>
      <c r="F167" s="22">
        <f t="shared" si="17"/>
        <v>84080745.357466295</v>
      </c>
      <c r="G167" s="22">
        <f t="shared" si="20"/>
        <v>51943430.456963852</v>
      </c>
    </row>
    <row r="168" spans="1:7">
      <c r="A168" s="20">
        <f t="shared" si="18"/>
        <v>147</v>
      </c>
      <c r="B168" s="21">
        <f t="shared" si="14"/>
        <v>45870</v>
      </c>
      <c r="C168" s="22">
        <f t="shared" si="19"/>
        <v>84080745.357466295</v>
      </c>
      <c r="D168" s="22">
        <f t="shared" si="15"/>
        <v>297785.97314102651</v>
      </c>
      <c r="E168" s="22">
        <f t="shared" si="16"/>
        <v>263301.18766491167</v>
      </c>
      <c r="F168" s="22">
        <f t="shared" si="17"/>
        <v>83817444.169801384</v>
      </c>
      <c r="G168" s="22">
        <f t="shared" si="20"/>
        <v>52241216.430104882</v>
      </c>
    </row>
    <row r="169" spans="1:7">
      <c r="A169" s="20">
        <f t="shared" si="18"/>
        <v>148</v>
      </c>
      <c r="B169" s="21">
        <f t="shared" si="14"/>
        <v>45901</v>
      </c>
      <c r="C169" s="22">
        <f t="shared" si="19"/>
        <v>83817444.169801384</v>
      </c>
      <c r="D169" s="22">
        <f t="shared" si="15"/>
        <v>296853.44810137991</v>
      </c>
      <c r="E169" s="22">
        <f t="shared" si="16"/>
        <v>264233.71270455827</v>
      </c>
      <c r="F169" s="22">
        <f t="shared" si="17"/>
        <v>83553210.45709683</v>
      </c>
      <c r="G169" s="22">
        <f t="shared" si="20"/>
        <v>52538069.878206261</v>
      </c>
    </row>
    <row r="170" spans="1:7">
      <c r="A170" s="20">
        <f t="shared" si="18"/>
        <v>149</v>
      </c>
      <c r="B170" s="21">
        <f t="shared" si="14"/>
        <v>45931</v>
      </c>
      <c r="C170" s="22">
        <f t="shared" si="19"/>
        <v>83553210.45709683</v>
      </c>
      <c r="D170" s="22">
        <f t="shared" si="15"/>
        <v>295917.62036888464</v>
      </c>
      <c r="E170" s="22">
        <f t="shared" si="16"/>
        <v>265169.54043705354</v>
      </c>
      <c r="F170" s="22">
        <f t="shared" si="17"/>
        <v>83288040.916659772</v>
      </c>
      <c r="G170" s="22">
        <f t="shared" si="20"/>
        <v>52833987.498575144</v>
      </c>
    </row>
    <row r="171" spans="1:7">
      <c r="A171" s="20">
        <f t="shared" si="18"/>
        <v>150</v>
      </c>
      <c r="B171" s="21">
        <f t="shared" si="14"/>
        <v>45962</v>
      </c>
      <c r="C171" s="22">
        <f t="shared" si="19"/>
        <v>83288040.916659772</v>
      </c>
      <c r="D171" s="22">
        <f t="shared" si="15"/>
        <v>294978.47824650339</v>
      </c>
      <c r="E171" s="22">
        <f t="shared" si="16"/>
        <v>266108.68255943479</v>
      </c>
      <c r="F171" s="22">
        <f t="shared" si="17"/>
        <v>83021932.234100342</v>
      </c>
      <c r="G171" s="22">
        <f t="shared" si="20"/>
        <v>53128965.976821646</v>
      </c>
    </row>
    <row r="172" spans="1:7">
      <c r="A172" s="20">
        <f t="shared" si="18"/>
        <v>151</v>
      </c>
      <c r="B172" s="21">
        <f t="shared" si="14"/>
        <v>45992</v>
      </c>
      <c r="C172" s="22">
        <f t="shared" si="19"/>
        <v>83021932.234100342</v>
      </c>
      <c r="D172" s="22">
        <f t="shared" si="15"/>
        <v>294036.00999577204</v>
      </c>
      <c r="E172" s="22">
        <f t="shared" si="16"/>
        <v>267051.15081016615</v>
      </c>
      <c r="F172" s="22">
        <f t="shared" si="17"/>
        <v>82754881.083290175</v>
      </c>
      <c r="G172" s="22">
        <f t="shared" si="20"/>
        <v>53423001.98681742</v>
      </c>
    </row>
    <row r="173" spans="1:7">
      <c r="A173" s="20">
        <f t="shared" si="18"/>
        <v>152</v>
      </c>
      <c r="B173" s="21">
        <f t="shared" si="14"/>
        <v>46023</v>
      </c>
      <c r="C173" s="22">
        <f t="shared" si="19"/>
        <v>82754881.083290175</v>
      </c>
      <c r="D173" s="22">
        <f t="shared" si="15"/>
        <v>293090.20383665274</v>
      </c>
      <c r="E173" s="22">
        <f t="shared" si="16"/>
        <v>267996.95696928544</v>
      </c>
      <c r="F173" s="22">
        <f t="shared" si="17"/>
        <v>82486884.126320884</v>
      </c>
      <c r="G173" s="22">
        <f t="shared" si="20"/>
        <v>53716092.190654069</v>
      </c>
    </row>
    <row r="174" spans="1:7">
      <c r="A174" s="20">
        <f t="shared" si="18"/>
        <v>153</v>
      </c>
      <c r="B174" s="21">
        <f t="shared" si="14"/>
        <v>46054</v>
      </c>
      <c r="C174" s="22">
        <f t="shared" si="19"/>
        <v>82486884.126320884</v>
      </c>
      <c r="D174" s="22">
        <f t="shared" si="15"/>
        <v>292141.04794738651</v>
      </c>
      <c r="E174" s="22">
        <f t="shared" si="16"/>
        <v>268946.11285855167</v>
      </c>
      <c r="F174" s="22">
        <f t="shared" si="17"/>
        <v>82217938.013462335</v>
      </c>
      <c r="G174" s="22">
        <f t="shared" si="20"/>
        <v>54008233.238601454</v>
      </c>
    </row>
    <row r="175" spans="1:7">
      <c r="A175" s="20">
        <f t="shared" si="18"/>
        <v>154</v>
      </c>
      <c r="B175" s="21">
        <f t="shared" si="14"/>
        <v>46082</v>
      </c>
      <c r="C175" s="22">
        <f t="shared" si="19"/>
        <v>82217938.013462335</v>
      </c>
      <c r="D175" s="22">
        <f t="shared" si="15"/>
        <v>291188.53046434576</v>
      </c>
      <c r="E175" s="22">
        <f t="shared" si="16"/>
        <v>269898.63034159242</v>
      </c>
      <c r="F175" s="22">
        <f t="shared" si="17"/>
        <v>81948039.383120745</v>
      </c>
      <c r="G175" s="22">
        <f t="shared" si="20"/>
        <v>54299421.769065797</v>
      </c>
    </row>
    <row r="176" spans="1:7">
      <c r="A176" s="20">
        <f t="shared" si="18"/>
        <v>155</v>
      </c>
      <c r="B176" s="21">
        <f t="shared" si="14"/>
        <v>46113</v>
      </c>
      <c r="C176" s="22">
        <f t="shared" si="19"/>
        <v>81948039.383120745</v>
      </c>
      <c r="D176" s="22">
        <f t="shared" si="15"/>
        <v>290232.639481886</v>
      </c>
      <c r="E176" s="22">
        <f t="shared" si="16"/>
        <v>270854.52132405218</v>
      </c>
      <c r="F176" s="22">
        <f t="shared" si="17"/>
        <v>81677184.861796692</v>
      </c>
      <c r="G176" s="22">
        <f t="shared" si="20"/>
        <v>54589654.408547685</v>
      </c>
    </row>
    <row r="177" spans="1:7">
      <c r="A177" s="20">
        <f t="shared" si="18"/>
        <v>156</v>
      </c>
      <c r="B177" s="21">
        <f t="shared" si="14"/>
        <v>46143</v>
      </c>
      <c r="C177" s="22">
        <f t="shared" si="19"/>
        <v>81677184.861796692</v>
      </c>
      <c r="D177" s="22">
        <f t="shared" si="15"/>
        <v>289273.36305219663</v>
      </c>
      <c r="E177" s="22">
        <f t="shared" si="16"/>
        <v>271813.79775374156</v>
      </c>
      <c r="F177" s="22">
        <f t="shared" si="17"/>
        <v>81405371.064042956</v>
      </c>
      <c r="G177" s="22">
        <f t="shared" si="20"/>
        <v>54878927.771599881</v>
      </c>
    </row>
    <row r="178" spans="1:7">
      <c r="A178" s="20">
        <f t="shared" si="18"/>
        <v>157</v>
      </c>
      <c r="B178" s="21">
        <f t="shared" si="14"/>
        <v>46174</v>
      </c>
      <c r="C178" s="22">
        <f t="shared" si="19"/>
        <v>81405371.064042956</v>
      </c>
      <c r="D178" s="22">
        <f t="shared" si="15"/>
        <v>288310.68918515218</v>
      </c>
      <c r="E178" s="22">
        <f t="shared" si="16"/>
        <v>272776.471620786</v>
      </c>
      <c r="F178" s="22">
        <f t="shared" si="17"/>
        <v>81132594.592422172</v>
      </c>
      <c r="G178" s="22">
        <f t="shared" si="20"/>
        <v>55167238.460785031</v>
      </c>
    </row>
    <row r="179" spans="1:7">
      <c r="A179" s="20">
        <f t="shared" si="18"/>
        <v>158</v>
      </c>
      <c r="B179" s="21">
        <f t="shared" si="14"/>
        <v>46204</v>
      </c>
      <c r="C179" s="22">
        <f t="shared" si="19"/>
        <v>81132594.592422172</v>
      </c>
      <c r="D179" s="22">
        <f t="shared" si="15"/>
        <v>287344.60584816185</v>
      </c>
      <c r="E179" s="22">
        <f t="shared" si="16"/>
        <v>273742.55495777633</v>
      </c>
      <c r="F179" s="22">
        <f t="shared" si="17"/>
        <v>80858852.037464395</v>
      </c>
      <c r="G179" s="22">
        <f t="shared" si="20"/>
        <v>55454583.066633195</v>
      </c>
    </row>
    <row r="180" spans="1:7">
      <c r="A180" s="20">
        <f t="shared" si="18"/>
        <v>159</v>
      </c>
      <c r="B180" s="21">
        <f t="shared" si="14"/>
        <v>46235</v>
      </c>
      <c r="C180" s="22">
        <f t="shared" si="19"/>
        <v>80858852.037464395</v>
      </c>
      <c r="D180" s="22">
        <f t="shared" si="15"/>
        <v>286375.10096601973</v>
      </c>
      <c r="E180" s="22">
        <f t="shared" si="16"/>
        <v>274712.05983991845</v>
      </c>
      <c r="F180" s="22">
        <f t="shared" si="17"/>
        <v>80584139.977624476</v>
      </c>
      <c r="G180" s="22">
        <f t="shared" si="20"/>
        <v>55740958.167599216</v>
      </c>
    </row>
    <row r="181" spans="1:7">
      <c r="A181" s="20">
        <f t="shared" si="18"/>
        <v>160</v>
      </c>
      <c r="B181" s="21">
        <f t="shared" si="14"/>
        <v>46266</v>
      </c>
      <c r="C181" s="22">
        <f t="shared" si="19"/>
        <v>80584139.977624476</v>
      </c>
      <c r="D181" s="22">
        <f t="shared" si="15"/>
        <v>285402.16242075339</v>
      </c>
      <c r="E181" s="22">
        <f t="shared" si="16"/>
        <v>275684.99838518479</v>
      </c>
      <c r="F181" s="22">
        <f t="shared" si="17"/>
        <v>80308454.979239285</v>
      </c>
      <c r="G181" s="22">
        <f t="shared" si="20"/>
        <v>56026360.330019966</v>
      </c>
    </row>
    <row r="182" spans="1:7">
      <c r="A182" s="20">
        <f t="shared" si="18"/>
        <v>161</v>
      </c>
      <c r="B182" s="21">
        <f t="shared" si="14"/>
        <v>46296</v>
      </c>
      <c r="C182" s="22">
        <f t="shared" si="19"/>
        <v>80308454.979239285</v>
      </c>
      <c r="D182" s="22">
        <f t="shared" si="15"/>
        <v>284425.7780514725</v>
      </c>
      <c r="E182" s="22">
        <f t="shared" si="16"/>
        <v>276661.38275446568</v>
      </c>
      <c r="F182" s="22">
        <f t="shared" si="17"/>
        <v>80031793.596484825</v>
      </c>
      <c r="G182" s="22">
        <f t="shared" si="20"/>
        <v>56310786.108071439</v>
      </c>
    </row>
    <row r="183" spans="1:7">
      <c r="A183" s="20">
        <f t="shared" si="18"/>
        <v>162</v>
      </c>
      <c r="B183" s="21">
        <f t="shared" si="14"/>
        <v>46327</v>
      </c>
      <c r="C183" s="22">
        <f t="shared" si="19"/>
        <v>80031793.596484825</v>
      </c>
      <c r="D183" s="22">
        <f t="shared" si="15"/>
        <v>283445.93565421709</v>
      </c>
      <c r="E183" s="22">
        <f t="shared" si="16"/>
        <v>277641.2251517211</v>
      </c>
      <c r="F183" s="22">
        <f t="shared" si="17"/>
        <v>79754152.371333107</v>
      </c>
      <c r="G183" s="22">
        <f t="shared" si="20"/>
        <v>56594232.043725654</v>
      </c>
    </row>
    <row r="184" spans="1:7">
      <c r="A184" s="20">
        <f t="shared" si="18"/>
        <v>163</v>
      </c>
      <c r="B184" s="21">
        <f t="shared" si="14"/>
        <v>46357</v>
      </c>
      <c r="C184" s="22">
        <f t="shared" si="19"/>
        <v>79754152.371333107</v>
      </c>
      <c r="D184" s="22">
        <f t="shared" si="15"/>
        <v>282462.62298180477</v>
      </c>
      <c r="E184" s="22">
        <f t="shared" si="16"/>
        <v>278624.53782413341</v>
      </c>
      <c r="F184" s="22">
        <f t="shared" si="17"/>
        <v>79475527.833508968</v>
      </c>
      <c r="G184" s="22">
        <f t="shared" si="20"/>
        <v>56876694.666707456</v>
      </c>
    </row>
    <row r="185" spans="1:7">
      <c r="A185" s="20">
        <f t="shared" si="18"/>
        <v>164</v>
      </c>
      <c r="B185" s="21">
        <f t="shared" si="14"/>
        <v>46388</v>
      </c>
      <c r="C185" s="22">
        <f t="shared" si="19"/>
        <v>79475527.833508968</v>
      </c>
      <c r="D185" s="22">
        <f t="shared" si="15"/>
        <v>281475.8277436776</v>
      </c>
      <c r="E185" s="22">
        <f t="shared" si="16"/>
        <v>279611.33306226059</v>
      </c>
      <c r="F185" s="22">
        <f t="shared" si="17"/>
        <v>79195916.500446707</v>
      </c>
      <c r="G185" s="22">
        <f t="shared" si="20"/>
        <v>57158170.494451135</v>
      </c>
    </row>
    <row r="186" spans="1:7">
      <c r="A186" s="20">
        <f t="shared" si="18"/>
        <v>165</v>
      </c>
      <c r="B186" s="21">
        <f t="shared" si="14"/>
        <v>46419</v>
      </c>
      <c r="C186" s="22">
        <f t="shared" si="19"/>
        <v>79195916.500446707</v>
      </c>
      <c r="D186" s="22">
        <f t="shared" si="15"/>
        <v>280485.5376057488</v>
      </c>
      <c r="E186" s="22">
        <f t="shared" si="16"/>
        <v>280601.62320018938</v>
      </c>
      <c r="F186" s="22">
        <f t="shared" si="17"/>
        <v>78915314.877246514</v>
      </c>
      <c r="G186" s="22">
        <f t="shared" si="20"/>
        <v>57438656.032056883</v>
      </c>
    </row>
    <row r="187" spans="1:7">
      <c r="A187" s="20">
        <f t="shared" si="18"/>
        <v>166</v>
      </c>
      <c r="B187" s="21">
        <f t="shared" si="14"/>
        <v>46447</v>
      </c>
      <c r="C187" s="22">
        <f t="shared" si="19"/>
        <v>78915314.877246514</v>
      </c>
      <c r="D187" s="22">
        <f t="shared" si="15"/>
        <v>279491.74019024806</v>
      </c>
      <c r="E187" s="22">
        <f t="shared" si="16"/>
        <v>281595.42061569012</v>
      </c>
      <c r="F187" s="22">
        <f t="shared" si="17"/>
        <v>78633719.456630826</v>
      </c>
      <c r="G187" s="22">
        <f t="shared" si="20"/>
        <v>57718147.772247128</v>
      </c>
    </row>
    <row r="188" spans="1:7">
      <c r="A188" s="20">
        <f t="shared" si="18"/>
        <v>167</v>
      </c>
      <c r="B188" s="21">
        <f t="shared" si="14"/>
        <v>46478</v>
      </c>
      <c r="C188" s="22">
        <f t="shared" si="19"/>
        <v>78633719.456630826</v>
      </c>
      <c r="D188" s="22">
        <f t="shared" si="15"/>
        <v>278494.42307556752</v>
      </c>
      <c r="E188" s="22">
        <f t="shared" si="16"/>
        <v>282592.73773037066</v>
      </c>
      <c r="F188" s="22">
        <f t="shared" si="17"/>
        <v>78351126.718900457</v>
      </c>
      <c r="G188" s="22">
        <f t="shared" si="20"/>
        <v>57996642.195322692</v>
      </c>
    </row>
    <row r="189" spans="1:7">
      <c r="A189" s="20">
        <f t="shared" si="18"/>
        <v>168</v>
      </c>
      <c r="B189" s="21">
        <f t="shared" si="14"/>
        <v>46508</v>
      </c>
      <c r="C189" s="22">
        <f t="shared" si="19"/>
        <v>78351126.718900457</v>
      </c>
      <c r="D189" s="22">
        <f t="shared" si="15"/>
        <v>277493.5737961058</v>
      </c>
      <c r="E189" s="22">
        <f t="shared" si="16"/>
        <v>283593.58700983238</v>
      </c>
      <c r="F189" s="22">
        <f t="shared" si="17"/>
        <v>78067533.131890625</v>
      </c>
      <c r="G189" s="22">
        <f t="shared" si="20"/>
        <v>58274135.769118801</v>
      </c>
    </row>
    <row r="190" spans="1:7">
      <c r="A190" s="20">
        <f t="shared" si="18"/>
        <v>169</v>
      </c>
      <c r="B190" s="21">
        <f t="shared" si="14"/>
        <v>46539</v>
      </c>
      <c r="C190" s="22">
        <f t="shared" si="19"/>
        <v>78067533.131890625</v>
      </c>
      <c r="D190" s="22">
        <f t="shared" si="15"/>
        <v>276489.17984211264</v>
      </c>
      <c r="E190" s="22">
        <f t="shared" si="16"/>
        <v>284597.98096382554</v>
      </c>
      <c r="F190" s="22">
        <f t="shared" si="17"/>
        <v>77782935.150926799</v>
      </c>
      <c r="G190" s="22">
        <f t="shared" si="20"/>
        <v>58550624.948960915</v>
      </c>
    </row>
    <row r="191" spans="1:7">
      <c r="A191" s="20">
        <f t="shared" si="18"/>
        <v>170</v>
      </c>
      <c r="B191" s="21">
        <f t="shared" si="14"/>
        <v>46569</v>
      </c>
      <c r="C191" s="22">
        <f t="shared" si="19"/>
        <v>77782935.150926799</v>
      </c>
      <c r="D191" s="22">
        <f t="shared" si="15"/>
        <v>275481.22865953244</v>
      </c>
      <c r="E191" s="22">
        <f t="shared" si="16"/>
        <v>285605.93214640574</v>
      </c>
      <c r="F191" s="22">
        <f t="shared" si="17"/>
        <v>77497329.218780398</v>
      </c>
      <c r="G191" s="22">
        <f t="shared" si="20"/>
        <v>58826106.177620448</v>
      </c>
    </row>
    <row r="192" spans="1:7">
      <c r="A192" s="20">
        <f t="shared" si="18"/>
        <v>171</v>
      </c>
      <c r="B192" s="21">
        <f t="shared" si="14"/>
        <v>46600</v>
      </c>
      <c r="C192" s="22">
        <f t="shared" si="19"/>
        <v>77497329.218780398</v>
      </c>
      <c r="D192" s="22">
        <f t="shared" si="15"/>
        <v>274469.70764984726</v>
      </c>
      <c r="E192" s="22">
        <f t="shared" si="16"/>
        <v>286617.45315609092</v>
      </c>
      <c r="F192" s="22">
        <f t="shared" si="17"/>
        <v>77210711.765624315</v>
      </c>
      <c r="G192" s="22">
        <f t="shared" si="20"/>
        <v>59100575.885270298</v>
      </c>
    </row>
    <row r="193" spans="1:7">
      <c r="A193" s="20">
        <f t="shared" si="18"/>
        <v>172</v>
      </c>
      <c r="B193" s="21">
        <f t="shared" si="14"/>
        <v>46631</v>
      </c>
      <c r="C193" s="22">
        <f t="shared" si="19"/>
        <v>77210711.765624315</v>
      </c>
      <c r="D193" s="22">
        <f t="shared" si="15"/>
        <v>273454.60416991945</v>
      </c>
      <c r="E193" s="22">
        <f t="shared" si="16"/>
        <v>287632.55663601874</v>
      </c>
      <c r="F193" s="22">
        <f t="shared" si="17"/>
        <v>76923079.208988294</v>
      </c>
      <c r="G193" s="22">
        <f t="shared" si="20"/>
        <v>59374030.489440218</v>
      </c>
    </row>
    <row r="194" spans="1:7">
      <c r="A194" s="20">
        <f t="shared" si="18"/>
        <v>173</v>
      </c>
      <c r="B194" s="21">
        <f t="shared" si="14"/>
        <v>46661</v>
      </c>
      <c r="C194" s="22">
        <f t="shared" si="19"/>
        <v>76923079.208988294</v>
      </c>
      <c r="D194" s="22">
        <f t="shared" si="15"/>
        <v>272435.90553183359</v>
      </c>
      <c r="E194" s="22">
        <f t="shared" si="16"/>
        <v>288651.25527410459</v>
      </c>
      <c r="F194" s="22">
        <f t="shared" si="17"/>
        <v>76634427.953714192</v>
      </c>
      <c r="G194" s="22">
        <f t="shared" si="20"/>
        <v>59646466.394972049</v>
      </c>
    </row>
    <row r="195" spans="1:7">
      <c r="A195" s="20">
        <f t="shared" si="18"/>
        <v>174</v>
      </c>
      <c r="B195" s="21">
        <f t="shared" si="14"/>
        <v>46692</v>
      </c>
      <c r="C195" s="22">
        <f t="shared" si="19"/>
        <v>76634427.953714192</v>
      </c>
      <c r="D195" s="22">
        <f t="shared" si="15"/>
        <v>271413.59900273778</v>
      </c>
      <c r="E195" s="22">
        <f t="shared" si="16"/>
        <v>289673.5618032004</v>
      </c>
      <c r="F195" s="22">
        <f t="shared" si="17"/>
        <v>76344754.391910985</v>
      </c>
      <c r="G195" s="22">
        <f t="shared" si="20"/>
        <v>59917879.99397479</v>
      </c>
    </row>
    <row r="196" spans="1:7">
      <c r="A196" s="20">
        <f t="shared" si="18"/>
        <v>175</v>
      </c>
      <c r="B196" s="21">
        <f t="shared" si="14"/>
        <v>46722</v>
      </c>
      <c r="C196" s="22">
        <f t="shared" si="19"/>
        <v>76344754.391910985</v>
      </c>
      <c r="D196" s="22">
        <f t="shared" si="15"/>
        <v>270387.67180468474</v>
      </c>
      <c r="E196" s="22">
        <f t="shared" si="16"/>
        <v>290699.48900125345</v>
      </c>
      <c r="F196" s="22">
        <f t="shared" si="17"/>
        <v>76054054.902909726</v>
      </c>
      <c r="G196" s="22">
        <f t="shared" si="20"/>
        <v>60188267.665779471</v>
      </c>
    </row>
    <row r="197" spans="1:7">
      <c r="A197" s="20">
        <f t="shared" si="18"/>
        <v>176</v>
      </c>
      <c r="B197" s="21">
        <f t="shared" si="14"/>
        <v>46753</v>
      </c>
      <c r="C197" s="22">
        <f t="shared" si="19"/>
        <v>76054054.902909726</v>
      </c>
      <c r="D197" s="22">
        <f t="shared" si="15"/>
        <v>269358.11111447198</v>
      </c>
      <c r="E197" s="22">
        <f t="shared" si="16"/>
        <v>291729.04969146621</v>
      </c>
      <c r="F197" s="22">
        <f t="shared" si="17"/>
        <v>75762325.853218257</v>
      </c>
      <c r="G197" s="22">
        <f t="shared" si="20"/>
        <v>60457625.776893944</v>
      </c>
    </row>
    <row r="198" spans="1:7">
      <c r="A198" s="20">
        <f t="shared" si="18"/>
        <v>177</v>
      </c>
      <c r="B198" s="21">
        <f t="shared" si="14"/>
        <v>46784</v>
      </c>
      <c r="C198" s="22">
        <f t="shared" si="19"/>
        <v>75762325.853218257</v>
      </c>
      <c r="D198" s="22">
        <f t="shared" si="15"/>
        <v>268324.90406348137</v>
      </c>
      <c r="E198" s="22">
        <f t="shared" si="16"/>
        <v>292762.25674245681</v>
      </c>
      <c r="F198" s="22">
        <f t="shared" si="17"/>
        <v>75469563.596475795</v>
      </c>
      <c r="G198" s="22">
        <f t="shared" si="20"/>
        <v>60725950.680957422</v>
      </c>
    </row>
    <row r="199" spans="1:7">
      <c r="A199" s="20">
        <f t="shared" si="18"/>
        <v>178</v>
      </c>
      <c r="B199" s="21">
        <f t="shared" si="14"/>
        <v>46813</v>
      </c>
      <c r="C199" s="22">
        <f t="shared" si="19"/>
        <v>75469563.596475795</v>
      </c>
      <c r="D199" s="22">
        <f t="shared" si="15"/>
        <v>267288.03773751843</v>
      </c>
      <c r="E199" s="22">
        <f t="shared" si="16"/>
        <v>293799.12306841975</v>
      </c>
      <c r="F199" s="22">
        <f t="shared" si="17"/>
        <v>75175764.473407373</v>
      </c>
      <c r="G199" s="22">
        <f t="shared" si="20"/>
        <v>60993238.71869494</v>
      </c>
    </row>
    <row r="200" spans="1:7">
      <c r="A200" s="20">
        <f t="shared" si="18"/>
        <v>179</v>
      </c>
      <c r="B200" s="21">
        <f t="shared" si="14"/>
        <v>46844</v>
      </c>
      <c r="C200" s="22">
        <f t="shared" si="19"/>
        <v>75175764.473407373</v>
      </c>
      <c r="D200" s="22">
        <f t="shared" si="15"/>
        <v>266247.49917665112</v>
      </c>
      <c r="E200" s="22">
        <f t="shared" si="16"/>
        <v>294839.66162928706</v>
      </c>
      <c r="F200" s="22">
        <f t="shared" si="17"/>
        <v>74880924.811778083</v>
      </c>
      <c r="G200" s="22">
        <f t="shared" si="20"/>
        <v>61259486.217871591</v>
      </c>
    </row>
    <row r="201" spans="1:7">
      <c r="A201" s="20">
        <f t="shared" si="18"/>
        <v>180</v>
      </c>
      <c r="B201" s="21">
        <f t="shared" si="14"/>
        <v>46874</v>
      </c>
      <c r="C201" s="22">
        <f t="shared" si="19"/>
        <v>74880924.811778083</v>
      </c>
      <c r="D201" s="22">
        <f t="shared" si="15"/>
        <v>265203.27537504741</v>
      </c>
      <c r="E201" s="22">
        <f t="shared" si="16"/>
        <v>295883.88543089078</v>
      </c>
      <c r="F201" s="22">
        <f t="shared" si="17"/>
        <v>74585040.926347196</v>
      </c>
      <c r="G201" s="22">
        <f t="shared" si="20"/>
        <v>61524689.493246637</v>
      </c>
    </row>
    <row r="202" spans="1:7">
      <c r="A202" s="20">
        <f t="shared" si="18"/>
        <v>181</v>
      </c>
      <c r="B202" s="21">
        <f t="shared" si="14"/>
        <v>46905</v>
      </c>
      <c r="C202" s="22">
        <f t="shared" si="19"/>
        <v>74585040.926347196</v>
      </c>
      <c r="D202" s="22">
        <f t="shared" si="15"/>
        <v>264155.35328081303</v>
      </c>
      <c r="E202" s="22">
        <f t="shared" si="16"/>
        <v>296931.80752512516</v>
      </c>
      <c r="F202" s="22">
        <f t="shared" si="17"/>
        <v>74288109.118822068</v>
      </c>
      <c r="G202" s="22">
        <f t="shared" si="20"/>
        <v>61788844.84652745</v>
      </c>
    </row>
    <row r="203" spans="1:7">
      <c r="A203" s="20">
        <f t="shared" si="18"/>
        <v>182</v>
      </c>
      <c r="B203" s="21">
        <f t="shared" si="14"/>
        <v>46935</v>
      </c>
      <c r="C203" s="22">
        <f t="shared" si="19"/>
        <v>74288109.118822068</v>
      </c>
      <c r="D203" s="22">
        <f t="shared" si="15"/>
        <v>263103.71979582816</v>
      </c>
      <c r="E203" s="22">
        <f t="shared" si="16"/>
        <v>297983.44101011002</v>
      </c>
      <c r="F203" s="22">
        <f t="shared" si="17"/>
        <v>73990125.677811965</v>
      </c>
      <c r="G203" s="22">
        <f t="shared" si="20"/>
        <v>62051948.56632328</v>
      </c>
    </row>
    <row r="204" spans="1:7">
      <c r="A204" s="20">
        <f t="shared" si="18"/>
        <v>183</v>
      </c>
      <c r="B204" s="21">
        <f t="shared" si="14"/>
        <v>46966</v>
      </c>
      <c r="C204" s="22">
        <f t="shared" si="19"/>
        <v>73990125.677811965</v>
      </c>
      <c r="D204" s="22">
        <f t="shared" si="15"/>
        <v>262048.36177558405</v>
      </c>
      <c r="E204" s="22">
        <f t="shared" si="16"/>
        <v>299038.79903035413</v>
      </c>
      <c r="F204" s="22">
        <f t="shared" si="17"/>
        <v>73691086.878781617</v>
      </c>
      <c r="G204" s="22">
        <f t="shared" si="20"/>
        <v>62313996.928098865</v>
      </c>
    </row>
    <row r="205" spans="1:7">
      <c r="A205" s="20">
        <f t="shared" si="18"/>
        <v>184</v>
      </c>
      <c r="B205" s="21">
        <f t="shared" si="14"/>
        <v>46997</v>
      </c>
      <c r="C205" s="22">
        <f t="shared" si="19"/>
        <v>73691086.878781617</v>
      </c>
      <c r="D205" s="22">
        <f t="shared" si="15"/>
        <v>260989.26602901824</v>
      </c>
      <c r="E205" s="22">
        <f t="shared" si="16"/>
        <v>300097.89477691997</v>
      </c>
      <c r="F205" s="22">
        <f t="shared" si="17"/>
        <v>73390988.984004691</v>
      </c>
      <c r="G205" s="22">
        <f t="shared" si="20"/>
        <v>62574986.19412788</v>
      </c>
    </row>
    <row r="206" spans="1:7">
      <c r="A206" s="20">
        <f t="shared" si="18"/>
        <v>185</v>
      </c>
      <c r="B206" s="21">
        <f t="shared" si="14"/>
        <v>47027</v>
      </c>
      <c r="C206" s="22">
        <f t="shared" si="19"/>
        <v>73390988.984004691</v>
      </c>
      <c r="D206" s="22">
        <f t="shared" si="15"/>
        <v>259926.41931834997</v>
      </c>
      <c r="E206" s="22">
        <f t="shared" si="16"/>
        <v>301160.74148758821</v>
      </c>
      <c r="F206" s="22">
        <f t="shared" si="17"/>
        <v>73089828.242517099</v>
      </c>
      <c r="G206" s="22">
        <f t="shared" si="20"/>
        <v>62834912.613446228</v>
      </c>
    </row>
    <row r="207" spans="1:7">
      <c r="A207" s="20">
        <f t="shared" si="18"/>
        <v>186</v>
      </c>
      <c r="B207" s="21">
        <f t="shared" si="14"/>
        <v>47058</v>
      </c>
      <c r="C207" s="22">
        <f t="shared" si="19"/>
        <v>73089828.242517099</v>
      </c>
      <c r="D207" s="22">
        <f t="shared" si="15"/>
        <v>258859.80835891474</v>
      </c>
      <c r="E207" s="22">
        <f t="shared" si="16"/>
        <v>302227.35244702344</v>
      </c>
      <c r="F207" s="22">
        <f t="shared" si="17"/>
        <v>72787600.890070081</v>
      </c>
      <c r="G207" s="22">
        <f t="shared" si="20"/>
        <v>63093772.421805143</v>
      </c>
    </row>
    <row r="208" spans="1:7">
      <c r="A208" s="20">
        <f t="shared" si="18"/>
        <v>187</v>
      </c>
      <c r="B208" s="21">
        <f t="shared" si="14"/>
        <v>47088</v>
      </c>
      <c r="C208" s="22">
        <f t="shared" si="19"/>
        <v>72787600.890070081</v>
      </c>
      <c r="D208" s="22">
        <f t="shared" si="15"/>
        <v>257789.41981899823</v>
      </c>
      <c r="E208" s="22">
        <f t="shared" si="16"/>
        <v>303297.74098693999</v>
      </c>
      <c r="F208" s="22">
        <f t="shared" si="17"/>
        <v>72484303.149083138</v>
      </c>
      <c r="G208" s="22">
        <f t="shared" si="20"/>
        <v>63351561.841624141</v>
      </c>
    </row>
    <row r="209" spans="1:7">
      <c r="A209" s="20">
        <f t="shared" si="18"/>
        <v>188</v>
      </c>
      <c r="B209" s="21">
        <f t="shared" si="14"/>
        <v>47119</v>
      </c>
      <c r="C209" s="22">
        <f t="shared" si="19"/>
        <v>72484303.149083138</v>
      </c>
      <c r="D209" s="22">
        <f t="shared" si="15"/>
        <v>256715.24031966945</v>
      </c>
      <c r="E209" s="22">
        <f t="shared" si="16"/>
        <v>304371.9204862687</v>
      </c>
      <c r="F209" s="22">
        <f t="shared" si="17"/>
        <v>72179931.228596866</v>
      </c>
      <c r="G209" s="22">
        <f t="shared" si="20"/>
        <v>63608277.08194381</v>
      </c>
    </row>
    <row r="210" spans="1:7">
      <c r="A210" s="20">
        <f t="shared" si="18"/>
        <v>189</v>
      </c>
      <c r="B210" s="21">
        <f t="shared" si="14"/>
        <v>47150</v>
      </c>
      <c r="C210" s="22">
        <f t="shared" si="19"/>
        <v>72179931.228596866</v>
      </c>
      <c r="D210" s="22">
        <f t="shared" si="15"/>
        <v>255637.25643461393</v>
      </c>
      <c r="E210" s="22">
        <f t="shared" si="16"/>
        <v>305449.90437132423</v>
      </c>
      <c r="F210" s="22">
        <f t="shared" si="17"/>
        <v>71874481.324225545</v>
      </c>
      <c r="G210" s="22">
        <f t="shared" si="20"/>
        <v>63863914.338378422</v>
      </c>
    </row>
    <row r="211" spans="1:7">
      <c r="A211" s="20">
        <f t="shared" si="18"/>
        <v>190</v>
      </c>
      <c r="B211" s="21">
        <f t="shared" si="14"/>
        <v>47178</v>
      </c>
      <c r="C211" s="22">
        <f t="shared" si="19"/>
        <v>71874481.324225545</v>
      </c>
      <c r="D211" s="22">
        <f t="shared" si="15"/>
        <v>254555.4546899655</v>
      </c>
      <c r="E211" s="22">
        <f t="shared" si="16"/>
        <v>306531.70611597272</v>
      </c>
      <c r="F211" s="22">
        <f t="shared" si="17"/>
        <v>71567949.618109569</v>
      </c>
      <c r="G211" s="22">
        <f t="shared" si="20"/>
        <v>64118469.793068387</v>
      </c>
    </row>
    <row r="212" spans="1:7">
      <c r="A212" s="20">
        <f t="shared" si="18"/>
        <v>191</v>
      </c>
      <c r="B212" s="21">
        <f t="shared" si="14"/>
        <v>47209</v>
      </c>
      <c r="C212" s="22">
        <f t="shared" si="19"/>
        <v>71567949.618109569</v>
      </c>
      <c r="D212" s="22">
        <f t="shared" si="15"/>
        <v>253469.82156413808</v>
      </c>
      <c r="E212" s="22">
        <f t="shared" si="16"/>
        <v>307617.33924180013</v>
      </c>
      <c r="F212" s="22">
        <f t="shared" si="17"/>
        <v>71260332.278867766</v>
      </c>
      <c r="G212" s="22">
        <f t="shared" si="20"/>
        <v>64371939.614632525</v>
      </c>
    </row>
    <row r="213" spans="1:7">
      <c r="A213" s="20">
        <f t="shared" si="18"/>
        <v>192</v>
      </c>
      <c r="B213" s="21">
        <f t="shared" si="14"/>
        <v>47239</v>
      </c>
      <c r="C213" s="22">
        <f t="shared" si="19"/>
        <v>71260332.278867766</v>
      </c>
      <c r="D213" s="22">
        <f t="shared" si="15"/>
        <v>252380.3434876567</v>
      </c>
      <c r="E213" s="22">
        <f t="shared" si="16"/>
        <v>308706.81731828151</v>
      </c>
      <c r="F213" s="22">
        <f t="shared" si="17"/>
        <v>70951625.461549491</v>
      </c>
      <c r="G213" s="22">
        <f t="shared" si="20"/>
        <v>64624319.958120182</v>
      </c>
    </row>
    <row r="214" spans="1:7">
      <c r="A214" s="20">
        <f t="shared" si="18"/>
        <v>193</v>
      </c>
      <c r="B214" s="21">
        <f t="shared" ref="B214:B277" si="21">Show.Date</f>
        <v>47270</v>
      </c>
      <c r="C214" s="22">
        <f t="shared" si="19"/>
        <v>70951625.461549491</v>
      </c>
      <c r="D214" s="22">
        <f t="shared" ref="D214:D277" si="22">Interest</f>
        <v>251287.00684298779</v>
      </c>
      <c r="E214" s="22">
        <f t="shared" ref="E214:E277" si="23">Principal+H214</f>
        <v>309800.1539629504</v>
      </c>
      <c r="F214" s="22">
        <f t="shared" ref="F214:F277" si="24">Ending.Balance</f>
        <v>70641825.307586536</v>
      </c>
      <c r="G214" s="22">
        <f t="shared" si="20"/>
        <v>64875606.964963168</v>
      </c>
    </row>
    <row r="215" spans="1:7">
      <c r="A215" s="20">
        <f t="shared" ref="A215:A278" si="25">payment.Num</f>
        <v>194</v>
      </c>
      <c r="B215" s="21">
        <f t="shared" si="21"/>
        <v>47300</v>
      </c>
      <c r="C215" s="22">
        <f t="shared" ref="C215:C278" si="26">Beg.Bal</f>
        <v>70641825.307586536</v>
      </c>
      <c r="D215" s="22">
        <f t="shared" si="22"/>
        <v>250189.79796436901</v>
      </c>
      <c r="E215" s="22">
        <f t="shared" si="23"/>
        <v>310897.36284156918</v>
      </c>
      <c r="F215" s="22">
        <f t="shared" si="24"/>
        <v>70330927.944744959</v>
      </c>
      <c r="G215" s="22">
        <f t="shared" ref="G215:G278" si="27">Cum.Interest</f>
        <v>65125796.76292754</v>
      </c>
    </row>
    <row r="216" spans="1:7">
      <c r="A216" s="20">
        <f t="shared" si="25"/>
        <v>195</v>
      </c>
      <c r="B216" s="21">
        <f t="shared" si="21"/>
        <v>47331</v>
      </c>
      <c r="C216" s="22">
        <f t="shared" si="26"/>
        <v>70330927.944744959</v>
      </c>
      <c r="D216" s="22">
        <f t="shared" si="22"/>
        <v>249088.70313763843</v>
      </c>
      <c r="E216" s="22">
        <f t="shared" si="23"/>
        <v>311998.45766829979</v>
      </c>
      <c r="F216" s="22">
        <f t="shared" si="24"/>
        <v>70018929.487076655</v>
      </c>
      <c r="G216" s="22">
        <f t="shared" si="27"/>
        <v>65374885.466065176</v>
      </c>
    </row>
    <row r="217" spans="1:7">
      <c r="A217" s="20">
        <f t="shared" si="25"/>
        <v>196</v>
      </c>
      <c r="B217" s="21">
        <f t="shared" si="21"/>
        <v>47362</v>
      </c>
      <c r="C217" s="22">
        <f t="shared" si="26"/>
        <v>70018929.487076655</v>
      </c>
      <c r="D217" s="22">
        <f t="shared" si="22"/>
        <v>247983.70860006317</v>
      </c>
      <c r="E217" s="22">
        <f t="shared" si="23"/>
        <v>313103.45220587502</v>
      </c>
      <c r="F217" s="22">
        <f t="shared" si="24"/>
        <v>69705826.034870774</v>
      </c>
      <c r="G217" s="22">
        <f t="shared" si="27"/>
        <v>65622869.174665242</v>
      </c>
    </row>
    <row r="218" spans="1:7">
      <c r="A218" s="20">
        <f t="shared" si="25"/>
        <v>197</v>
      </c>
      <c r="B218" s="21">
        <f t="shared" si="21"/>
        <v>47392</v>
      </c>
      <c r="C218" s="22">
        <f t="shared" si="26"/>
        <v>69705826.034870774</v>
      </c>
      <c r="D218" s="22">
        <f t="shared" si="22"/>
        <v>246874.80054016734</v>
      </c>
      <c r="E218" s="22">
        <f t="shared" si="23"/>
        <v>314212.36026577081</v>
      </c>
      <c r="F218" s="22">
        <f t="shared" si="24"/>
        <v>69391613.674604997</v>
      </c>
      <c r="G218" s="22">
        <f t="shared" si="27"/>
        <v>65869743.975205407</v>
      </c>
    </row>
    <row r="219" spans="1:7">
      <c r="A219" s="20">
        <f t="shared" si="25"/>
        <v>198</v>
      </c>
      <c r="B219" s="21">
        <f t="shared" si="21"/>
        <v>47423</v>
      </c>
      <c r="C219" s="22">
        <f t="shared" si="26"/>
        <v>69391613.674604997</v>
      </c>
      <c r="D219" s="22">
        <f t="shared" si="22"/>
        <v>245761.96509755938</v>
      </c>
      <c r="E219" s="22">
        <f t="shared" si="23"/>
        <v>315325.1957083788</v>
      </c>
      <c r="F219" s="22">
        <f t="shared" si="24"/>
        <v>69076288.478896618</v>
      </c>
      <c r="G219" s="22">
        <f t="shared" si="27"/>
        <v>66115505.940302968</v>
      </c>
    </row>
    <row r="220" spans="1:7">
      <c r="A220" s="20">
        <f t="shared" si="25"/>
        <v>199</v>
      </c>
      <c r="B220" s="21">
        <f t="shared" si="21"/>
        <v>47453</v>
      </c>
      <c r="C220" s="22">
        <f t="shared" si="26"/>
        <v>69076288.478896618</v>
      </c>
      <c r="D220" s="22">
        <f t="shared" si="22"/>
        <v>244645.18836275887</v>
      </c>
      <c r="E220" s="22">
        <f t="shared" si="23"/>
        <v>316441.97244317934</v>
      </c>
      <c r="F220" s="22">
        <f t="shared" si="24"/>
        <v>68759846.50645344</v>
      </c>
      <c r="G220" s="22">
        <f t="shared" si="27"/>
        <v>66360151.12866573</v>
      </c>
    </row>
    <row r="221" spans="1:7">
      <c r="A221" s="20">
        <f t="shared" si="25"/>
        <v>200</v>
      </c>
      <c r="B221" s="21">
        <f t="shared" si="21"/>
        <v>47484</v>
      </c>
      <c r="C221" s="22">
        <f t="shared" si="26"/>
        <v>68759846.50645344</v>
      </c>
      <c r="D221" s="22">
        <f t="shared" si="22"/>
        <v>243524.45637702261</v>
      </c>
      <c r="E221" s="22">
        <f t="shared" si="23"/>
        <v>317562.70442891557</v>
      </c>
      <c r="F221" s="22">
        <f t="shared" si="24"/>
        <v>68442283.802024528</v>
      </c>
      <c r="G221" s="22">
        <f t="shared" si="27"/>
        <v>66603675.585042752</v>
      </c>
    </row>
    <row r="222" spans="1:7">
      <c r="A222" s="20">
        <f t="shared" si="25"/>
        <v>201</v>
      </c>
      <c r="B222" s="21">
        <f t="shared" si="21"/>
        <v>47515</v>
      </c>
      <c r="C222" s="22">
        <f t="shared" si="26"/>
        <v>68442283.802024528</v>
      </c>
      <c r="D222" s="22">
        <f t="shared" si="22"/>
        <v>242399.75513217022</v>
      </c>
      <c r="E222" s="22">
        <f t="shared" si="23"/>
        <v>318687.40567376796</v>
      </c>
      <c r="F222" s="22">
        <f t="shared" si="24"/>
        <v>68123596.396350756</v>
      </c>
      <c r="G222" s="22">
        <f t="shared" si="27"/>
        <v>66846075.340174921</v>
      </c>
    </row>
    <row r="223" spans="1:7">
      <c r="A223" s="20">
        <f t="shared" si="25"/>
        <v>202</v>
      </c>
      <c r="B223" s="21">
        <f t="shared" si="21"/>
        <v>47543</v>
      </c>
      <c r="C223" s="22">
        <f t="shared" si="26"/>
        <v>68123596.396350756</v>
      </c>
      <c r="D223" s="22">
        <f t="shared" si="22"/>
        <v>241271.07057040895</v>
      </c>
      <c r="E223" s="22">
        <f t="shared" si="23"/>
        <v>319816.09023552923</v>
      </c>
      <c r="F223" s="22">
        <f t="shared" si="24"/>
        <v>67803780.306115225</v>
      </c>
      <c r="G223" s="22">
        <f t="shared" si="27"/>
        <v>67087346.41074533</v>
      </c>
    </row>
    <row r="224" spans="1:7">
      <c r="A224" s="20">
        <f t="shared" si="25"/>
        <v>203</v>
      </c>
      <c r="B224" s="21">
        <f t="shared" si="21"/>
        <v>47574</v>
      </c>
      <c r="C224" s="22">
        <f t="shared" si="26"/>
        <v>67803780.306115225</v>
      </c>
      <c r="D224" s="22">
        <f t="shared" si="22"/>
        <v>240138.38858415809</v>
      </c>
      <c r="E224" s="22">
        <f t="shared" si="23"/>
        <v>320948.77222178009</v>
      </c>
      <c r="F224" s="22">
        <f t="shared" si="24"/>
        <v>67482831.533893451</v>
      </c>
      <c r="G224" s="22">
        <f t="shared" si="27"/>
        <v>67327484.799329489</v>
      </c>
    </row>
    <row r="225" spans="1:7">
      <c r="A225" s="20">
        <f t="shared" si="25"/>
        <v>204</v>
      </c>
      <c r="B225" s="21">
        <f t="shared" si="21"/>
        <v>47604</v>
      </c>
      <c r="C225" s="22">
        <f t="shared" si="26"/>
        <v>67482831.533893451</v>
      </c>
      <c r="D225" s="22">
        <f t="shared" si="22"/>
        <v>239001.69501587265</v>
      </c>
      <c r="E225" s="22">
        <f t="shared" si="23"/>
        <v>322085.46579006553</v>
      </c>
      <c r="F225" s="22">
        <f t="shared" si="24"/>
        <v>67160746.068103388</v>
      </c>
      <c r="G225" s="22">
        <f t="shared" si="27"/>
        <v>67566486.494345367</v>
      </c>
    </row>
    <row r="226" spans="1:7">
      <c r="A226" s="20">
        <f t="shared" si="25"/>
        <v>205</v>
      </c>
      <c r="B226" s="21">
        <f t="shared" si="21"/>
        <v>47635</v>
      </c>
      <c r="C226" s="22">
        <f t="shared" si="26"/>
        <v>67160746.068103388</v>
      </c>
      <c r="D226" s="22">
        <f t="shared" si="22"/>
        <v>237860.97565786619</v>
      </c>
      <c r="E226" s="22">
        <f t="shared" si="23"/>
        <v>323226.18514807196</v>
      </c>
      <c r="F226" s="22">
        <f t="shared" si="24"/>
        <v>66837519.882955313</v>
      </c>
      <c r="G226" s="22">
        <f t="shared" si="27"/>
        <v>67804347.470003232</v>
      </c>
    </row>
    <row r="227" spans="1:7">
      <c r="A227" s="20">
        <f t="shared" si="25"/>
        <v>206</v>
      </c>
      <c r="B227" s="21">
        <f t="shared" si="21"/>
        <v>47665</v>
      </c>
      <c r="C227" s="22">
        <f t="shared" si="26"/>
        <v>66837519.882955313</v>
      </c>
      <c r="D227" s="22">
        <f t="shared" si="22"/>
        <v>236716.21625213342</v>
      </c>
      <c r="E227" s="22">
        <f t="shared" si="23"/>
        <v>324370.94455380476</v>
      </c>
      <c r="F227" s="22">
        <f t="shared" si="24"/>
        <v>66513148.938401505</v>
      </c>
      <c r="G227" s="22">
        <f t="shared" si="27"/>
        <v>68041063.686255366</v>
      </c>
    </row>
    <row r="228" spans="1:7">
      <c r="A228" s="20">
        <f t="shared" si="25"/>
        <v>207</v>
      </c>
      <c r="B228" s="21">
        <f t="shared" si="21"/>
        <v>47696</v>
      </c>
      <c r="C228" s="22">
        <f t="shared" si="26"/>
        <v>66513148.938401505</v>
      </c>
      <c r="D228" s="22">
        <f t="shared" si="22"/>
        <v>235567.40249017201</v>
      </c>
      <c r="E228" s="22">
        <f t="shared" si="23"/>
        <v>325519.75831576617</v>
      </c>
      <c r="F228" s="22">
        <f t="shared" si="24"/>
        <v>66187629.180085741</v>
      </c>
      <c r="G228" s="22">
        <f t="shared" si="27"/>
        <v>68276631.088745534</v>
      </c>
    </row>
    <row r="229" spans="1:7">
      <c r="A229" s="20">
        <f t="shared" si="25"/>
        <v>208</v>
      </c>
      <c r="B229" s="21">
        <f t="shared" si="21"/>
        <v>47727</v>
      </c>
      <c r="C229" s="22">
        <f t="shared" si="26"/>
        <v>66187629.180085741</v>
      </c>
      <c r="D229" s="22">
        <f t="shared" si="22"/>
        <v>234414.5200128037</v>
      </c>
      <c r="E229" s="22">
        <f t="shared" si="23"/>
        <v>326672.64079313446</v>
      </c>
      <c r="F229" s="22">
        <f t="shared" si="24"/>
        <v>65860956.539292604</v>
      </c>
      <c r="G229" s="22">
        <f t="shared" si="27"/>
        <v>68511045.608758345</v>
      </c>
    </row>
    <row r="230" spans="1:7">
      <c r="A230" s="20">
        <f t="shared" si="25"/>
        <v>209</v>
      </c>
      <c r="B230" s="21">
        <f t="shared" si="21"/>
        <v>47757</v>
      </c>
      <c r="C230" s="22">
        <f t="shared" si="26"/>
        <v>65860956.539292604</v>
      </c>
      <c r="D230" s="22">
        <f t="shared" si="22"/>
        <v>233257.55440999466</v>
      </c>
      <c r="E230" s="22">
        <f t="shared" si="23"/>
        <v>327829.60639594356</v>
      </c>
      <c r="F230" s="22">
        <f t="shared" si="24"/>
        <v>65533126.932896659</v>
      </c>
      <c r="G230" s="22">
        <f t="shared" si="27"/>
        <v>68744303.163168341</v>
      </c>
    </row>
    <row r="231" spans="1:7">
      <c r="A231" s="20">
        <f t="shared" si="25"/>
        <v>210</v>
      </c>
      <c r="B231" s="21">
        <f t="shared" si="21"/>
        <v>47788</v>
      </c>
      <c r="C231" s="22">
        <f t="shared" si="26"/>
        <v>65533126.932896659</v>
      </c>
      <c r="D231" s="22">
        <f t="shared" si="22"/>
        <v>232096.49122067567</v>
      </c>
      <c r="E231" s="22">
        <f t="shared" si="23"/>
        <v>328990.66958526254</v>
      </c>
      <c r="F231" s="22">
        <f t="shared" si="24"/>
        <v>65204136.263311394</v>
      </c>
      <c r="G231" s="22">
        <f t="shared" si="27"/>
        <v>68976399.654389024</v>
      </c>
    </row>
    <row r="232" spans="1:7">
      <c r="A232" s="20">
        <f t="shared" si="25"/>
        <v>211</v>
      </c>
      <c r="B232" s="21">
        <f t="shared" si="21"/>
        <v>47818</v>
      </c>
      <c r="C232" s="22">
        <f t="shared" si="26"/>
        <v>65204136.263311394</v>
      </c>
      <c r="D232" s="22">
        <f t="shared" si="22"/>
        <v>230931.31593256121</v>
      </c>
      <c r="E232" s="22">
        <f t="shared" si="23"/>
        <v>330155.84487337701</v>
      </c>
      <c r="F232" s="22">
        <f t="shared" si="24"/>
        <v>64873980.418438017</v>
      </c>
      <c r="G232" s="22">
        <f t="shared" si="27"/>
        <v>69207330.970321581</v>
      </c>
    </row>
    <row r="233" spans="1:7">
      <c r="A233" s="20">
        <f t="shared" si="25"/>
        <v>212</v>
      </c>
      <c r="B233" s="21">
        <f t="shared" si="21"/>
        <v>47849</v>
      </c>
      <c r="C233" s="22">
        <f t="shared" si="26"/>
        <v>64873980.418438017</v>
      </c>
      <c r="D233" s="22">
        <f t="shared" si="22"/>
        <v>229762.01398196799</v>
      </c>
      <c r="E233" s="22">
        <f t="shared" si="23"/>
        <v>331325.14682397019</v>
      </c>
      <c r="F233" s="22">
        <f t="shared" si="24"/>
        <v>64542655.271614045</v>
      </c>
      <c r="G233" s="22">
        <f t="shared" si="27"/>
        <v>69437092.984303549</v>
      </c>
    </row>
    <row r="234" spans="1:7">
      <c r="A234" s="20">
        <f t="shared" si="25"/>
        <v>213</v>
      </c>
      <c r="B234" s="21">
        <f t="shared" si="21"/>
        <v>47880</v>
      </c>
      <c r="C234" s="22">
        <f t="shared" si="26"/>
        <v>64542655.271614045</v>
      </c>
      <c r="D234" s="22">
        <f t="shared" si="22"/>
        <v>228588.5707536331</v>
      </c>
      <c r="E234" s="22">
        <f t="shared" si="23"/>
        <v>332498.59005230508</v>
      </c>
      <c r="F234" s="22">
        <f t="shared" si="24"/>
        <v>64210156.681561738</v>
      </c>
      <c r="G234" s="22">
        <f t="shared" si="27"/>
        <v>69665681.555057183</v>
      </c>
    </row>
    <row r="235" spans="1:7">
      <c r="A235" s="20">
        <f t="shared" si="25"/>
        <v>214</v>
      </c>
      <c r="B235" s="21">
        <f t="shared" si="21"/>
        <v>47908</v>
      </c>
      <c r="C235" s="22">
        <f t="shared" si="26"/>
        <v>64210156.681561738</v>
      </c>
      <c r="D235" s="22">
        <f t="shared" si="22"/>
        <v>227410.97158053119</v>
      </c>
      <c r="E235" s="22">
        <f t="shared" si="23"/>
        <v>333676.18922540697</v>
      </c>
      <c r="F235" s="22">
        <f t="shared" si="24"/>
        <v>63876480.492336333</v>
      </c>
      <c r="G235" s="22">
        <f t="shared" si="27"/>
        <v>69893092.526637718</v>
      </c>
    </row>
    <row r="236" spans="1:7">
      <c r="A236" s="20">
        <f t="shared" si="25"/>
        <v>215</v>
      </c>
      <c r="B236" s="21">
        <f t="shared" si="21"/>
        <v>47939</v>
      </c>
      <c r="C236" s="22">
        <f t="shared" si="26"/>
        <v>63876480.492336333</v>
      </c>
      <c r="D236" s="22">
        <f t="shared" si="22"/>
        <v>226229.2017436912</v>
      </c>
      <c r="E236" s="22">
        <f t="shared" si="23"/>
        <v>334857.95906224695</v>
      </c>
      <c r="F236" s="22">
        <f t="shared" si="24"/>
        <v>63541622.533274084</v>
      </c>
      <c r="G236" s="22">
        <f t="shared" si="27"/>
        <v>70119321.72838141</v>
      </c>
    </row>
    <row r="237" spans="1:7">
      <c r="A237" s="20">
        <f t="shared" si="25"/>
        <v>216</v>
      </c>
      <c r="B237" s="21">
        <f t="shared" si="21"/>
        <v>47969</v>
      </c>
      <c r="C237" s="22">
        <f t="shared" si="26"/>
        <v>63541622.533274084</v>
      </c>
      <c r="D237" s="22">
        <f t="shared" si="22"/>
        <v>225043.2464720124</v>
      </c>
      <c r="E237" s="22">
        <f t="shared" si="23"/>
        <v>336043.91433392582</v>
      </c>
      <c r="F237" s="22">
        <f t="shared" si="24"/>
        <v>63205578.61894016</v>
      </c>
      <c r="G237" s="22">
        <f t="shared" si="27"/>
        <v>70344364.974853426</v>
      </c>
    </row>
    <row r="238" spans="1:7">
      <c r="A238" s="20">
        <f t="shared" si="25"/>
        <v>217</v>
      </c>
      <c r="B238" s="21">
        <f t="shared" si="21"/>
        <v>48000</v>
      </c>
      <c r="C238" s="22">
        <f t="shared" si="26"/>
        <v>63205578.61894016</v>
      </c>
      <c r="D238" s="22">
        <f t="shared" si="22"/>
        <v>223853.09094207975</v>
      </c>
      <c r="E238" s="22">
        <f t="shared" si="23"/>
        <v>337234.0698638584</v>
      </c>
      <c r="F238" s="22">
        <f t="shared" si="24"/>
        <v>62868344.549076304</v>
      </c>
      <c r="G238" s="22">
        <f t="shared" si="27"/>
        <v>70568218.065795511</v>
      </c>
    </row>
    <row r="239" spans="1:7">
      <c r="A239" s="20">
        <f t="shared" si="25"/>
        <v>218</v>
      </c>
      <c r="B239" s="21">
        <f t="shared" si="21"/>
        <v>48030</v>
      </c>
      <c r="C239" s="22">
        <f t="shared" si="26"/>
        <v>62868344.549076304</v>
      </c>
      <c r="D239" s="22">
        <f t="shared" si="22"/>
        <v>222658.7202779786</v>
      </c>
      <c r="E239" s="22">
        <f t="shared" si="23"/>
        <v>338428.44052795961</v>
      </c>
      <c r="F239" s="22">
        <f t="shared" si="24"/>
        <v>62529916.108548343</v>
      </c>
      <c r="G239" s="22">
        <f t="shared" si="27"/>
        <v>70790876.786073491</v>
      </c>
    </row>
    <row r="240" spans="1:7">
      <c r="A240" s="20">
        <f t="shared" si="25"/>
        <v>219</v>
      </c>
      <c r="B240" s="21">
        <f t="shared" si="21"/>
        <v>48061</v>
      </c>
      <c r="C240" s="22">
        <f t="shared" si="26"/>
        <v>62529916.108548343</v>
      </c>
      <c r="D240" s="22">
        <f t="shared" si="22"/>
        <v>221460.11955110874</v>
      </c>
      <c r="E240" s="22">
        <f t="shared" si="23"/>
        <v>339627.04125482944</v>
      </c>
      <c r="F240" s="22">
        <f t="shared" si="24"/>
        <v>62190289.067293517</v>
      </c>
      <c r="G240" s="22">
        <f t="shared" si="27"/>
        <v>71012336.905624598</v>
      </c>
    </row>
    <row r="241" spans="1:7">
      <c r="A241" s="20">
        <f t="shared" si="25"/>
        <v>220</v>
      </c>
      <c r="B241" s="21">
        <f t="shared" si="21"/>
        <v>48092</v>
      </c>
      <c r="C241" s="22">
        <f t="shared" si="26"/>
        <v>62190289.067293517</v>
      </c>
      <c r="D241" s="22">
        <f t="shared" si="22"/>
        <v>220257.27377999789</v>
      </c>
      <c r="E241" s="22">
        <f t="shared" si="23"/>
        <v>340829.88702594029</v>
      </c>
      <c r="F241" s="22">
        <f t="shared" si="24"/>
        <v>61849459.18026758</v>
      </c>
      <c r="G241" s="22">
        <f t="shared" si="27"/>
        <v>71232594.179404601</v>
      </c>
    </row>
    <row r="242" spans="1:7">
      <c r="A242" s="20">
        <f t="shared" si="25"/>
        <v>221</v>
      </c>
      <c r="B242" s="21">
        <f t="shared" si="21"/>
        <v>48122</v>
      </c>
      <c r="C242" s="22">
        <f t="shared" si="26"/>
        <v>61849459.18026758</v>
      </c>
      <c r="D242" s="22">
        <f t="shared" si="22"/>
        <v>219050.16793011437</v>
      </c>
      <c r="E242" s="22">
        <f t="shared" si="23"/>
        <v>342036.99287582381</v>
      </c>
      <c r="F242" s="22">
        <f t="shared" si="24"/>
        <v>61507422.187391758</v>
      </c>
      <c r="G242" s="22">
        <f t="shared" si="27"/>
        <v>71451644.347334713</v>
      </c>
    </row>
    <row r="243" spans="1:7">
      <c r="A243" s="20">
        <f t="shared" si="25"/>
        <v>222</v>
      </c>
      <c r="B243" s="21">
        <f t="shared" si="21"/>
        <v>48153</v>
      </c>
      <c r="C243" s="22">
        <f t="shared" si="26"/>
        <v>61507422.187391758</v>
      </c>
      <c r="D243" s="22">
        <f t="shared" si="22"/>
        <v>217838.78691367916</v>
      </c>
      <c r="E243" s="22">
        <f t="shared" si="23"/>
        <v>343248.37389225903</v>
      </c>
      <c r="F243" s="22">
        <f t="shared" si="24"/>
        <v>61164173.813499495</v>
      </c>
      <c r="G243" s="22">
        <f t="shared" si="27"/>
        <v>71669483.134248391</v>
      </c>
    </row>
    <row r="244" spans="1:7">
      <c r="A244" s="20">
        <f t="shared" si="25"/>
        <v>223</v>
      </c>
      <c r="B244" s="21">
        <f t="shared" si="21"/>
        <v>48183</v>
      </c>
      <c r="C244" s="22">
        <f t="shared" si="26"/>
        <v>61164173.813499495</v>
      </c>
      <c r="D244" s="22">
        <f t="shared" si="22"/>
        <v>216623.11558947738</v>
      </c>
      <c r="E244" s="22">
        <f t="shared" si="23"/>
        <v>344464.04521646083</v>
      </c>
      <c r="F244" s="22">
        <f t="shared" si="24"/>
        <v>60819709.768283032</v>
      </c>
      <c r="G244" s="22">
        <f t="shared" si="27"/>
        <v>71886106.249837875</v>
      </c>
    </row>
    <row r="245" spans="1:7">
      <c r="A245" s="20">
        <f t="shared" si="25"/>
        <v>224</v>
      </c>
      <c r="B245" s="21">
        <f t="shared" si="21"/>
        <v>48214</v>
      </c>
      <c r="C245" s="22">
        <f t="shared" si="26"/>
        <v>60819709.768283032</v>
      </c>
      <c r="D245" s="22">
        <f t="shared" si="22"/>
        <v>215403.13876266908</v>
      </c>
      <c r="E245" s="22">
        <f t="shared" si="23"/>
        <v>345684.02204326913</v>
      </c>
      <c r="F245" s="22">
        <f t="shared" si="24"/>
        <v>60474025.746239766</v>
      </c>
      <c r="G245" s="22">
        <f t="shared" si="27"/>
        <v>72101509.388600543</v>
      </c>
    </row>
    <row r="246" spans="1:7">
      <c r="A246" s="20">
        <f t="shared" si="25"/>
        <v>225</v>
      </c>
      <c r="B246" s="21">
        <f t="shared" si="21"/>
        <v>48245</v>
      </c>
      <c r="C246" s="22">
        <f t="shared" si="26"/>
        <v>60474025.746239766</v>
      </c>
      <c r="D246" s="22">
        <f t="shared" si="22"/>
        <v>214178.84118459918</v>
      </c>
      <c r="E246" s="22">
        <f t="shared" si="23"/>
        <v>346908.31962133897</v>
      </c>
      <c r="F246" s="22">
        <f t="shared" si="24"/>
        <v>60127117.426618427</v>
      </c>
      <c r="G246" s="22">
        <f t="shared" si="27"/>
        <v>72315688.229785144</v>
      </c>
    </row>
    <row r="247" spans="1:7">
      <c r="A247" s="20">
        <f t="shared" si="25"/>
        <v>226</v>
      </c>
      <c r="B247" s="21">
        <f t="shared" si="21"/>
        <v>48274</v>
      </c>
      <c r="C247" s="22">
        <f t="shared" si="26"/>
        <v>60127117.426618427</v>
      </c>
      <c r="D247" s="22">
        <f t="shared" si="22"/>
        <v>212950.20755260694</v>
      </c>
      <c r="E247" s="22">
        <f t="shared" si="23"/>
        <v>348136.95325333124</v>
      </c>
      <c r="F247" s="22">
        <f t="shared" si="24"/>
        <v>59778980.473365098</v>
      </c>
      <c r="G247" s="22">
        <f t="shared" si="27"/>
        <v>72528638.437337756</v>
      </c>
    </row>
    <row r="248" spans="1:7">
      <c r="A248" s="20">
        <f t="shared" si="25"/>
        <v>227</v>
      </c>
      <c r="B248" s="21">
        <f t="shared" si="21"/>
        <v>48305</v>
      </c>
      <c r="C248" s="22">
        <f t="shared" si="26"/>
        <v>59778980.473365098</v>
      </c>
      <c r="D248" s="22">
        <f t="shared" si="22"/>
        <v>211717.22250983474</v>
      </c>
      <c r="E248" s="22">
        <f t="shared" si="23"/>
        <v>349369.93829610344</v>
      </c>
      <c r="F248" s="22">
        <f t="shared" si="24"/>
        <v>59429610.535068996</v>
      </c>
      <c r="G248" s="22">
        <f t="shared" si="27"/>
        <v>72740355.659847587</v>
      </c>
    </row>
    <row r="249" spans="1:7">
      <c r="A249" s="20">
        <f t="shared" si="25"/>
        <v>228</v>
      </c>
      <c r="B249" s="21">
        <f t="shared" si="21"/>
        <v>48335</v>
      </c>
      <c r="C249" s="22">
        <f t="shared" si="26"/>
        <v>59429610.535068996</v>
      </c>
      <c r="D249" s="22">
        <f t="shared" si="22"/>
        <v>210479.87064503605</v>
      </c>
      <c r="E249" s="22">
        <f t="shared" si="23"/>
        <v>350607.29016090214</v>
      </c>
      <c r="F249" s="22">
        <f t="shared" si="24"/>
        <v>59079003.244908094</v>
      </c>
      <c r="G249" s="22">
        <f t="shared" si="27"/>
        <v>72950835.530492619</v>
      </c>
    </row>
    <row r="250" spans="1:7">
      <c r="A250" s="20">
        <f t="shared" si="25"/>
        <v>229</v>
      </c>
      <c r="B250" s="21">
        <f t="shared" si="21"/>
        <v>48366</v>
      </c>
      <c r="C250" s="22">
        <f t="shared" si="26"/>
        <v>59079003.244908094</v>
      </c>
      <c r="D250" s="22">
        <f t="shared" si="22"/>
        <v>209238.13649238285</v>
      </c>
      <c r="E250" s="22">
        <f t="shared" si="23"/>
        <v>351849.02431355533</v>
      </c>
      <c r="F250" s="22">
        <f t="shared" si="24"/>
        <v>58727154.22059454</v>
      </c>
      <c r="G250" s="22">
        <f t="shared" si="27"/>
        <v>73160073.666985005</v>
      </c>
    </row>
    <row r="251" spans="1:7">
      <c r="A251" s="20">
        <f t="shared" si="25"/>
        <v>230</v>
      </c>
      <c r="B251" s="21">
        <f t="shared" si="21"/>
        <v>48396</v>
      </c>
      <c r="C251" s="22">
        <f t="shared" si="26"/>
        <v>58727154.22059454</v>
      </c>
      <c r="D251" s="22">
        <f t="shared" si="22"/>
        <v>207992.00453127234</v>
      </c>
      <c r="E251" s="22">
        <f t="shared" si="23"/>
        <v>353095.15627466585</v>
      </c>
      <c r="F251" s="22">
        <f t="shared" si="24"/>
        <v>58374059.064319871</v>
      </c>
      <c r="G251" s="22">
        <f t="shared" si="27"/>
        <v>73368065.671516284</v>
      </c>
    </row>
    <row r="252" spans="1:7">
      <c r="A252" s="20">
        <f t="shared" si="25"/>
        <v>231</v>
      </c>
      <c r="B252" s="21">
        <f t="shared" si="21"/>
        <v>48427</v>
      </c>
      <c r="C252" s="22">
        <f t="shared" si="26"/>
        <v>58374059.064319871</v>
      </c>
      <c r="D252" s="22">
        <f t="shared" si="22"/>
        <v>206741.45918613288</v>
      </c>
      <c r="E252" s="22">
        <f t="shared" si="23"/>
        <v>354345.7016198053</v>
      </c>
      <c r="F252" s="22">
        <f t="shared" si="24"/>
        <v>58019713.362700067</v>
      </c>
      <c r="G252" s="22">
        <f t="shared" si="27"/>
        <v>73574807.130702421</v>
      </c>
    </row>
    <row r="253" spans="1:7">
      <c r="A253" s="20">
        <f t="shared" si="25"/>
        <v>232</v>
      </c>
      <c r="B253" s="21">
        <f t="shared" si="21"/>
        <v>48458</v>
      </c>
      <c r="C253" s="22">
        <f t="shared" si="26"/>
        <v>58019713.362700067</v>
      </c>
      <c r="D253" s="22">
        <f t="shared" si="22"/>
        <v>205486.48482622943</v>
      </c>
      <c r="E253" s="22">
        <f t="shared" si="23"/>
        <v>355600.67597970879</v>
      </c>
      <c r="F253" s="22">
        <f t="shared" si="24"/>
        <v>57664112.686720356</v>
      </c>
      <c r="G253" s="22">
        <f t="shared" si="27"/>
        <v>73780293.615528643</v>
      </c>
    </row>
    <row r="254" spans="1:7">
      <c r="A254" s="20">
        <f t="shared" si="25"/>
        <v>233</v>
      </c>
      <c r="B254" s="21">
        <f t="shared" si="21"/>
        <v>48488</v>
      </c>
      <c r="C254" s="22">
        <f t="shared" si="26"/>
        <v>57664112.686720356</v>
      </c>
      <c r="D254" s="22">
        <f t="shared" si="22"/>
        <v>204227.06576546794</v>
      </c>
      <c r="E254" s="22">
        <f t="shared" si="23"/>
        <v>356860.09504047025</v>
      </c>
      <c r="F254" s="22">
        <f t="shared" si="24"/>
        <v>57307252.591679886</v>
      </c>
      <c r="G254" s="22">
        <f t="shared" si="27"/>
        <v>73984520.681294113</v>
      </c>
    </row>
    <row r="255" spans="1:7">
      <c r="A255" s="20">
        <f t="shared" si="25"/>
        <v>234</v>
      </c>
      <c r="B255" s="21">
        <f t="shared" si="21"/>
        <v>48519</v>
      </c>
      <c r="C255" s="22">
        <f t="shared" si="26"/>
        <v>57307252.591679886</v>
      </c>
      <c r="D255" s="22">
        <f t="shared" si="22"/>
        <v>202963.1862621996</v>
      </c>
      <c r="E255" s="22">
        <f t="shared" si="23"/>
        <v>358123.97454373859</v>
      </c>
      <c r="F255" s="22">
        <f t="shared" si="24"/>
        <v>56949128.617136151</v>
      </c>
      <c r="G255" s="22">
        <f t="shared" si="27"/>
        <v>74187483.867556319</v>
      </c>
    </row>
    <row r="256" spans="1:7">
      <c r="A256" s="20">
        <f t="shared" si="25"/>
        <v>235</v>
      </c>
      <c r="B256" s="21">
        <f t="shared" si="21"/>
        <v>48549</v>
      </c>
      <c r="C256" s="22">
        <f t="shared" si="26"/>
        <v>56949128.617136151</v>
      </c>
      <c r="D256" s="22">
        <f t="shared" si="22"/>
        <v>201694.83051902388</v>
      </c>
      <c r="E256" s="22">
        <f t="shared" si="23"/>
        <v>359392.33028691431</v>
      </c>
      <c r="F256" s="22">
        <f t="shared" si="24"/>
        <v>56589736.286849238</v>
      </c>
      <c r="G256" s="22">
        <f t="shared" si="27"/>
        <v>74389178.698075339</v>
      </c>
    </row>
    <row r="257" spans="1:7">
      <c r="A257" s="20">
        <f t="shared" si="25"/>
        <v>236</v>
      </c>
      <c r="B257" s="21">
        <f t="shared" si="21"/>
        <v>48580</v>
      </c>
      <c r="C257" s="22">
        <f t="shared" si="26"/>
        <v>56589736.286849238</v>
      </c>
      <c r="D257" s="22">
        <f t="shared" si="22"/>
        <v>200421.98268259107</v>
      </c>
      <c r="E257" s="22">
        <f t="shared" si="23"/>
        <v>360665.17812334711</v>
      </c>
      <c r="F257" s="22">
        <f t="shared" si="24"/>
        <v>56229071.108725891</v>
      </c>
      <c r="G257" s="22">
        <f t="shared" si="27"/>
        <v>74589600.680757925</v>
      </c>
    </row>
    <row r="258" spans="1:7">
      <c r="A258" s="20">
        <f t="shared" si="25"/>
        <v>237</v>
      </c>
      <c r="B258" s="21">
        <f t="shared" si="21"/>
        <v>48611</v>
      </c>
      <c r="C258" s="22">
        <f t="shared" si="26"/>
        <v>56229071.108725891</v>
      </c>
      <c r="D258" s="22">
        <f t="shared" si="22"/>
        <v>199144.6268434042</v>
      </c>
      <c r="E258" s="22">
        <f t="shared" si="23"/>
        <v>361942.53396253398</v>
      </c>
      <c r="F258" s="22">
        <f t="shared" si="24"/>
        <v>55867128.574763358</v>
      </c>
      <c r="G258" s="22">
        <f t="shared" si="27"/>
        <v>74788745.307601333</v>
      </c>
    </row>
    <row r="259" spans="1:7">
      <c r="A259" s="20">
        <f t="shared" si="25"/>
        <v>238</v>
      </c>
      <c r="B259" s="21">
        <f t="shared" si="21"/>
        <v>48639</v>
      </c>
      <c r="C259" s="22">
        <f t="shared" si="26"/>
        <v>55867128.574763358</v>
      </c>
      <c r="D259" s="22">
        <f t="shared" si="22"/>
        <v>197862.74703562024</v>
      </c>
      <c r="E259" s="22">
        <f t="shared" si="23"/>
        <v>363224.41377031791</v>
      </c>
      <c r="F259" s="22">
        <f t="shared" si="24"/>
        <v>55503904.16099304</v>
      </c>
      <c r="G259" s="22">
        <f t="shared" si="27"/>
        <v>74986608.054636955</v>
      </c>
    </row>
    <row r="260" spans="1:7">
      <c r="A260" s="20">
        <f t="shared" si="25"/>
        <v>239</v>
      </c>
      <c r="B260" s="21">
        <f t="shared" si="21"/>
        <v>48670</v>
      </c>
      <c r="C260" s="22">
        <f t="shared" si="26"/>
        <v>55503904.16099304</v>
      </c>
      <c r="D260" s="22">
        <f t="shared" si="22"/>
        <v>196576.32723685037</v>
      </c>
      <c r="E260" s="22">
        <f t="shared" si="23"/>
        <v>364510.83356908779</v>
      </c>
      <c r="F260" s="22">
        <f t="shared" si="24"/>
        <v>55139393.327423953</v>
      </c>
      <c r="G260" s="22">
        <f t="shared" si="27"/>
        <v>75183184.381873801</v>
      </c>
    </row>
    <row r="261" spans="1:7">
      <c r="A261" s="20">
        <f t="shared" si="25"/>
        <v>240</v>
      </c>
      <c r="B261" s="21">
        <f t="shared" si="21"/>
        <v>48700</v>
      </c>
      <c r="C261" s="22">
        <f t="shared" si="26"/>
        <v>55139393.327423953</v>
      </c>
      <c r="D261" s="22">
        <f t="shared" si="22"/>
        <v>195285.35136795984</v>
      </c>
      <c r="E261" s="22">
        <f t="shared" si="23"/>
        <v>365801.80943797831</v>
      </c>
      <c r="F261" s="22">
        <f t="shared" si="24"/>
        <v>54773591.517985977</v>
      </c>
      <c r="G261" s="22">
        <f t="shared" si="27"/>
        <v>75378469.733241767</v>
      </c>
    </row>
    <row r="262" spans="1:7">
      <c r="A262" s="20">
        <f t="shared" si="25"/>
        <v>241</v>
      </c>
      <c r="B262" s="21">
        <f t="shared" si="21"/>
        <v>48731</v>
      </c>
      <c r="C262" s="22">
        <f t="shared" si="26"/>
        <v>54773591.517985977</v>
      </c>
      <c r="D262" s="22">
        <f t="shared" si="22"/>
        <v>193989.80329286703</v>
      </c>
      <c r="E262" s="22">
        <f t="shared" si="23"/>
        <v>367097.35751307115</v>
      </c>
      <c r="F262" s="22">
        <f t="shared" si="24"/>
        <v>54406494.160472907</v>
      </c>
      <c r="G262" s="22">
        <f t="shared" si="27"/>
        <v>75572459.536534637</v>
      </c>
    </row>
    <row r="263" spans="1:7">
      <c r="A263" s="20">
        <f t="shared" si="25"/>
        <v>242</v>
      </c>
      <c r="B263" s="21">
        <f t="shared" si="21"/>
        <v>48761</v>
      </c>
      <c r="C263" s="22">
        <f t="shared" si="26"/>
        <v>54406494.160472907</v>
      </c>
      <c r="D263" s="22">
        <f t="shared" si="22"/>
        <v>192689.66681834156</v>
      </c>
      <c r="E263" s="22">
        <f t="shared" si="23"/>
        <v>368397.49398759659</v>
      </c>
      <c r="F263" s="22">
        <f t="shared" si="24"/>
        <v>54038096.66648531</v>
      </c>
      <c r="G263" s="22">
        <f t="shared" si="27"/>
        <v>75765149.203352973</v>
      </c>
    </row>
    <row r="264" spans="1:7">
      <c r="A264" s="20">
        <f t="shared" si="25"/>
        <v>243</v>
      </c>
      <c r="B264" s="21">
        <f t="shared" si="21"/>
        <v>48792</v>
      </c>
      <c r="C264" s="22">
        <f t="shared" si="26"/>
        <v>54038096.66648531</v>
      </c>
      <c r="D264" s="22">
        <f t="shared" si="22"/>
        <v>191384.92569380216</v>
      </c>
      <c r="E264" s="22">
        <f t="shared" si="23"/>
        <v>369702.235112136</v>
      </c>
      <c r="F264" s="22">
        <f t="shared" si="24"/>
        <v>53668394.431373172</v>
      </c>
      <c r="G264" s="22">
        <f t="shared" si="27"/>
        <v>75956534.129046768</v>
      </c>
    </row>
    <row r="265" spans="1:7">
      <c r="A265" s="20">
        <f t="shared" si="25"/>
        <v>244</v>
      </c>
      <c r="B265" s="21">
        <f t="shared" si="21"/>
        <v>48823</v>
      </c>
      <c r="C265" s="22">
        <f t="shared" si="26"/>
        <v>53668394.431373172</v>
      </c>
      <c r="D265" s="22">
        <f t="shared" si="22"/>
        <v>190075.56361111332</v>
      </c>
      <c r="E265" s="22">
        <f t="shared" si="23"/>
        <v>371011.59719482483</v>
      </c>
      <c r="F265" s="22">
        <f t="shared" si="24"/>
        <v>53297382.834178343</v>
      </c>
      <c r="G265" s="22">
        <f t="shared" si="27"/>
        <v>76146609.692657888</v>
      </c>
    </row>
    <row r="266" spans="1:7">
      <c r="A266" s="20">
        <f t="shared" si="25"/>
        <v>245</v>
      </c>
      <c r="B266" s="21">
        <f t="shared" si="21"/>
        <v>48853</v>
      </c>
      <c r="C266" s="22">
        <f t="shared" si="26"/>
        <v>53297382.834178343</v>
      </c>
      <c r="D266" s="22">
        <f t="shared" si="22"/>
        <v>188761.56420438163</v>
      </c>
      <c r="E266" s="22">
        <f t="shared" si="23"/>
        <v>372325.59660155652</v>
      </c>
      <c r="F266" s="22">
        <f t="shared" si="24"/>
        <v>52925057.23757679</v>
      </c>
      <c r="G266" s="22">
        <f t="shared" si="27"/>
        <v>76335371.256862268</v>
      </c>
    </row>
    <row r="267" spans="1:7">
      <c r="A267" s="20">
        <f t="shared" si="25"/>
        <v>246</v>
      </c>
      <c r="B267" s="21">
        <f t="shared" si="21"/>
        <v>48884</v>
      </c>
      <c r="C267" s="22">
        <f t="shared" si="26"/>
        <v>52925057.23757679</v>
      </c>
      <c r="D267" s="22">
        <f t="shared" si="22"/>
        <v>187442.91104975116</v>
      </c>
      <c r="E267" s="22">
        <f t="shared" si="23"/>
        <v>373644.24975618703</v>
      </c>
      <c r="F267" s="22">
        <f t="shared" si="24"/>
        <v>52551412.987820603</v>
      </c>
      <c r="G267" s="22">
        <f t="shared" si="27"/>
        <v>76522814.167912021</v>
      </c>
    </row>
    <row r="268" spans="1:7">
      <c r="A268" s="20">
        <f t="shared" si="25"/>
        <v>247</v>
      </c>
      <c r="B268" s="21">
        <f t="shared" si="21"/>
        <v>48914</v>
      </c>
      <c r="C268" s="22">
        <f t="shared" si="26"/>
        <v>52551412.987820603</v>
      </c>
      <c r="D268" s="22">
        <f t="shared" si="22"/>
        <v>186119.58766519799</v>
      </c>
      <c r="E268" s="22">
        <f t="shared" si="23"/>
        <v>374967.57314074016</v>
      </c>
      <c r="F268" s="22">
        <f t="shared" si="24"/>
        <v>52176445.414679863</v>
      </c>
      <c r="G268" s="22">
        <f t="shared" si="27"/>
        <v>76708933.755577222</v>
      </c>
    </row>
    <row r="269" spans="1:7">
      <c r="A269" s="20">
        <f t="shared" si="25"/>
        <v>248</v>
      </c>
      <c r="B269" s="21">
        <f t="shared" si="21"/>
        <v>48945</v>
      </c>
      <c r="C269" s="22">
        <f t="shared" si="26"/>
        <v>52176445.414679863</v>
      </c>
      <c r="D269" s="22">
        <f t="shared" si="22"/>
        <v>184791.57751032454</v>
      </c>
      <c r="E269" s="22">
        <f t="shared" si="23"/>
        <v>376295.58329561364</v>
      </c>
      <c r="F269" s="22">
        <f t="shared" si="24"/>
        <v>51800149.831384249</v>
      </c>
      <c r="G269" s="22">
        <f t="shared" si="27"/>
        <v>76893725.333087549</v>
      </c>
    </row>
    <row r="270" spans="1:7">
      <c r="A270" s="20">
        <f t="shared" si="25"/>
        <v>249</v>
      </c>
      <c r="B270" s="21">
        <f t="shared" si="21"/>
        <v>48976</v>
      </c>
      <c r="C270" s="22">
        <f t="shared" si="26"/>
        <v>51800149.831384249</v>
      </c>
      <c r="D270" s="22">
        <f t="shared" si="22"/>
        <v>183458.86398615257</v>
      </c>
      <c r="E270" s="22">
        <f t="shared" si="23"/>
        <v>377628.29681978561</v>
      </c>
      <c r="F270" s="22">
        <f t="shared" si="24"/>
        <v>51422521.534564465</v>
      </c>
      <c r="G270" s="22">
        <f t="shared" si="27"/>
        <v>77077184.197073698</v>
      </c>
    </row>
    <row r="271" spans="1:7">
      <c r="A271" s="20">
        <f t="shared" si="25"/>
        <v>250</v>
      </c>
      <c r="B271" s="21">
        <f t="shared" si="21"/>
        <v>49004</v>
      </c>
      <c r="C271" s="22">
        <f t="shared" si="26"/>
        <v>51422521.534564465</v>
      </c>
      <c r="D271" s="22">
        <f t="shared" si="22"/>
        <v>182121.43043491582</v>
      </c>
      <c r="E271" s="22">
        <f t="shared" si="23"/>
        <v>378965.73037102236</v>
      </c>
      <c r="F271" s="22">
        <f t="shared" si="24"/>
        <v>51043555.804193445</v>
      </c>
      <c r="G271" s="22">
        <f t="shared" si="27"/>
        <v>77259305.62750861</v>
      </c>
    </row>
    <row r="272" spans="1:7">
      <c r="A272" s="20">
        <f t="shared" si="25"/>
        <v>251</v>
      </c>
      <c r="B272" s="21">
        <f t="shared" si="21"/>
        <v>49035</v>
      </c>
      <c r="C272" s="22">
        <f t="shared" si="26"/>
        <v>51043555.804193445</v>
      </c>
      <c r="D272" s="22">
        <f t="shared" si="22"/>
        <v>180779.2601398518</v>
      </c>
      <c r="E272" s="22">
        <f t="shared" si="23"/>
        <v>380307.90066608635</v>
      </c>
      <c r="F272" s="22">
        <f t="shared" si="24"/>
        <v>50663247.903527357</v>
      </c>
      <c r="G272" s="22">
        <f t="shared" si="27"/>
        <v>77440084.887648463</v>
      </c>
    </row>
    <row r="273" spans="1:7">
      <c r="A273" s="20">
        <f t="shared" si="25"/>
        <v>252</v>
      </c>
      <c r="B273" s="21">
        <f t="shared" si="21"/>
        <v>49065</v>
      </c>
      <c r="C273" s="22">
        <f t="shared" si="26"/>
        <v>50663247.903527357</v>
      </c>
      <c r="D273" s="22">
        <f t="shared" si="22"/>
        <v>179432.33632499274</v>
      </c>
      <c r="E273" s="22">
        <f t="shared" si="23"/>
        <v>381654.82448094548</v>
      </c>
      <c r="F273" s="22">
        <f t="shared" si="24"/>
        <v>50281593.079046413</v>
      </c>
      <c r="G273" s="22">
        <f t="shared" si="27"/>
        <v>77619517.223973453</v>
      </c>
    </row>
    <row r="274" spans="1:7">
      <c r="A274" s="20">
        <f t="shared" si="25"/>
        <v>253</v>
      </c>
      <c r="B274" s="21">
        <f t="shared" si="21"/>
        <v>49096</v>
      </c>
      <c r="C274" s="22">
        <f t="shared" si="26"/>
        <v>50281593.079046413</v>
      </c>
      <c r="D274" s="22">
        <f t="shared" si="22"/>
        <v>178080.64215495606</v>
      </c>
      <c r="E274" s="22">
        <f t="shared" si="23"/>
        <v>383006.51865098212</v>
      </c>
      <c r="F274" s="22">
        <f t="shared" si="24"/>
        <v>49898586.560395434</v>
      </c>
      <c r="G274" s="22">
        <f t="shared" si="27"/>
        <v>77797597.866128415</v>
      </c>
    </row>
    <row r="275" spans="1:7">
      <c r="A275" s="20">
        <f t="shared" si="25"/>
        <v>254</v>
      </c>
      <c r="B275" s="21">
        <f t="shared" si="21"/>
        <v>49126</v>
      </c>
      <c r="C275" s="22">
        <f t="shared" si="26"/>
        <v>49898586.560395434</v>
      </c>
      <c r="D275" s="22">
        <f t="shared" si="22"/>
        <v>176724.16073473386</v>
      </c>
      <c r="E275" s="22">
        <f t="shared" si="23"/>
        <v>384363.00007120433</v>
      </c>
      <c r="F275" s="22">
        <f t="shared" si="24"/>
        <v>49514223.560324229</v>
      </c>
      <c r="G275" s="22">
        <f t="shared" si="27"/>
        <v>77974322.026863143</v>
      </c>
    </row>
    <row r="276" spans="1:7">
      <c r="A276" s="20">
        <f t="shared" si="25"/>
        <v>255</v>
      </c>
      <c r="B276" s="21">
        <f t="shared" si="21"/>
        <v>49157</v>
      </c>
      <c r="C276" s="22">
        <f t="shared" si="26"/>
        <v>49514223.560324229</v>
      </c>
      <c r="D276" s="22">
        <f t="shared" si="22"/>
        <v>175362.87510948165</v>
      </c>
      <c r="E276" s="22">
        <f t="shared" si="23"/>
        <v>385724.28569645656</v>
      </c>
      <c r="F276" s="22">
        <f t="shared" si="24"/>
        <v>49128499.274627775</v>
      </c>
      <c r="G276" s="22">
        <f t="shared" si="27"/>
        <v>78149684.901972622</v>
      </c>
    </row>
    <row r="277" spans="1:7">
      <c r="A277" s="20">
        <f t="shared" si="25"/>
        <v>256</v>
      </c>
      <c r="B277" s="21">
        <f t="shared" si="21"/>
        <v>49188</v>
      </c>
      <c r="C277" s="22">
        <f t="shared" si="26"/>
        <v>49128499.274627775</v>
      </c>
      <c r="D277" s="22">
        <f t="shared" si="22"/>
        <v>173996.76826430671</v>
      </c>
      <c r="E277" s="22">
        <f t="shared" si="23"/>
        <v>387090.39254163147</v>
      </c>
      <c r="F277" s="22">
        <f t="shared" si="24"/>
        <v>48741408.882086143</v>
      </c>
      <c r="G277" s="22">
        <f t="shared" si="27"/>
        <v>78323681.67023693</v>
      </c>
    </row>
    <row r="278" spans="1:7">
      <c r="A278" s="20">
        <f t="shared" si="25"/>
        <v>257</v>
      </c>
      <c r="B278" s="21">
        <f t="shared" ref="B278:B341" si="28">Show.Date</f>
        <v>49218</v>
      </c>
      <c r="C278" s="22">
        <f t="shared" si="26"/>
        <v>48741408.882086143</v>
      </c>
      <c r="D278" s="22">
        <f t="shared" ref="D278:D341" si="29">Interest</f>
        <v>172625.82312405511</v>
      </c>
      <c r="E278" s="22">
        <f t="shared" ref="E278:E341" si="30">Principal+H278</f>
        <v>388461.33768188307</v>
      </c>
      <c r="F278" s="22">
        <f t="shared" ref="F278:F341" si="31">Ending.Balance</f>
        <v>48352947.544404261</v>
      </c>
      <c r="G278" s="22">
        <f t="shared" si="27"/>
        <v>78496307.493360981</v>
      </c>
    </row>
    <row r="279" spans="1:7">
      <c r="A279" s="20">
        <f t="shared" ref="A279:A342" si="32">payment.Num</f>
        <v>258</v>
      </c>
      <c r="B279" s="21">
        <f t="shared" si="28"/>
        <v>49249</v>
      </c>
      <c r="C279" s="22">
        <f t="shared" ref="C279:C342" si="33">Beg.Bal</f>
        <v>48352947.544404261</v>
      </c>
      <c r="D279" s="22">
        <f t="shared" si="29"/>
        <v>171250.02255309845</v>
      </c>
      <c r="E279" s="22">
        <f t="shared" si="30"/>
        <v>389837.13825283974</v>
      </c>
      <c r="F279" s="22">
        <f t="shared" si="31"/>
        <v>47963110.406151421</v>
      </c>
      <c r="G279" s="22">
        <f t="shared" ref="G279:G342" si="34">Cum.Interest</f>
        <v>78667557.515914083</v>
      </c>
    </row>
    <row r="280" spans="1:7">
      <c r="A280" s="20">
        <f t="shared" si="32"/>
        <v>259</v>
      </c>
      <c r="B280" s="21">
        <f t="shared" si="28"/>
        <v>49279</v>
      </c>
      <c r="C280" s="22">
        <f t="shared" si="33"/>
        <v>47963110.406151421</v>
      </c>
      <c r="D280" s="22">
        <f t="shared" si="29"/>
        <v>169869.34935511963</v>
      </c>
      <c r="E280" s="22">
        <f t="shared" si="30"/>
        <v>391217.81145081855</v>
      </c>
      <c r="F280" s="22">
        <f t="shared" si="31"/>
        <v>47571892.594700605</v>
      </c>
      <c r="G280" s="22">
        <f t="shared" si="34"/>
        <v>78837426.865269199</v>
      </c>
    </row>
    <row r="281" spans="1:7">
      <c r="A281" s="20">
        <f t="shared" si="32"/>
        <v>260</v>
      </c>
      <c r="B281" s="21">
        <f t="shared" si="28"/>
        <v>49310</v>
      </c>
      <c r="C281" s="22">
        <f t="shared" si="33"/>
        <v>47571892.594700605</v>
      </c>
      <c r="D281" s="22">
        <f t="shared" si="29"/>
        <v>168483.786272898</v>
      </c>
      <c r="E281" s="22">
        <f t="shared" si="30"/>
        <v>392603.37453304022</v>
      </c>
      <c r="F281" s="22">
        <f t="shared" si="31"/>
        <v>47179289.220167562</v>
      </c>
      <c r="G281" s="22">
        <f t="shared" si="34"/>
        <v>79005910.651542097</v>
      </c>
    </row>
    <row r="282" spans="1:7">
      <c r="A282" s="20">
        <f t="shared" si="32"/>
        <v>261</v>
      </c>
      <c r="B282" s="21">
        <f t="shared" si="28"/>
        <v>49341</v>
      </c>
      <c r="C282" s="22">
        <f t="shared" si="33"/>
        <v>47179289.220167562</v>
      </c>
      <c r="D282" s="22">
        <f t="shared" si="29"/>
        <v>167093.31598809347</v>
      </c>
      <c r="E282" s="22">
        <f t="shared" si="30"/>
        <v>393993.84481784469</v>
      </c>
      <c r="F282" s="22">
        <f t="shared" si="31"/>
        <v>46785295.375349715</v>
      </c>
      <c r="G282" s="22">
        <f t="shared" si="34"/>
        <v>79173003.967530191</v>
      </c>
    </row>
    <row r="283" spans="1:7">
      <c r="A283" s="20">
        <f t="shared" si="32"/>
        <v>262</v>
      </c>
      <c r="B283" s="21">
        <f t="shared" si="28"/>
        <v>49369</v>
      </c>
      <c r="C283" s="22">
        <f t="shared" si="33"/>
        <v>46785295.375349715</v>
      </c>
      <c r="D283" s="22">
        <f t="shared" si="29"/>
        <v>165697.92112103026</v>
      </c>
      <c r="E283" s="22">
        <f t="shared" si="30"/>
        <v>395389.23968490795</v>
      </c>
      <c r="F283" s="22">
        <f t="shared" si="31"/>
        <v>46389906.135664806</v>
      </c>
      <c r="G283" s="22">
        <f t="shared" si="34"/>
        <v>79338701.888651222</v>
      </c>
    </row>
    <row r="284" spans="1:7">
      <c r="A284" s="20">
        <f t="shared" si="32"/>
        <v>263</v>
      </c>
      <c r="B284" s="21">
        <f t="shared" si="28"/>
        <v>49400</v>
      </c>
      <c r="C284" s="22">
        <f t="shared" si="33"/>
        <v>46389906.135664806</v>
      </c>
      <c r="D284" s="22">
        <f t="shared" si="29"/>
        <v>164297.58423047952</v>
      </c>
      <c r="E284" s="22">
        <f t="shared" si="30"/>
        <v>396789.57657545863</v>
      </c>
      <c r="F284" s="22">
        <f t="shared" si="31"/>
        <v>45993116.559089348</v>
      </c>
      <c r="G284" s="22">
        <f t="shared" si="34"/>
        <v>79502999.472881705</v>
      </c>
    </row>
    <row r="285" spans="1:7">
      <c r="A285" s="20">
        <f t="shared" si="32"/>
        <v>264</v>
      </c>
      <c r="B285" s="21">
        <f t="shared" si="28"/>
        <v>49430</v>
      </c>
      <c r="C285" s="22">
        <f t="shared" si="33"/>
        <v>45993116.559089348</v>
      </c>
      <c r="D285" s="22">
        <f t="shared" si="29"/>
        <v>162892.28781344145</v>
      </c>
      <c r="E285" s="22">
        <f t="shared" si="30"/>
        <v>398194.8729924967</v>
      </c>
      <c r="F285" s="22">
        <f t="shared" si="31"/>
        <v>45594921.686096855</v>
      </c>
      <c r="G285" s="22">
        <f t="shared" si="34"/>
        <v>79665891.760695145</v>
      </c>
    </row>
    <row r="286" spans="1:7">
      <c r="A286" s="20">
        <f t="shared" si="32"/>
        <v>265</v>
      </c>
      <c r="B286" s="21">
        <f t="shared" si="28"/>
        <v>49461</v>
      </c>
      <c r="C286" s="22">
        <f t="shared" si="33"/>
        <v>45594921.686096855</v>
      </c>
      <c r="D286" s="22">
        <f t="shared" si="29"/>
        <v>161482.01430492636</v>
      </c>
      <c r="E286" s="22">
        <f t="shared" si="30"/>
        <v>399605.1465010118</v>
      </c>
      <c r="F286" s="22">
        <f t="shared" si="31"/>
        <v>45195316.539595842</v>
      </c>
      <c r="G286" s="22">
        <f t="shared" si="34"/>
        <v>79827373.775000066</v>
      </c>
    </row>
    <row r="287" spans="1:7">
      <c r="A287" s="20">
        <f t="shared" si="32"/>
        <v>266</v>
      </c>
      <c r="B287" s="21">
        <f t="shared" si="28"/>
        <v>49491</v>
      </c>
      <c r="C287" s="22">
        <f t="shared" si="33"/>
        <v>45195316.539595842</v>
      </c>
      <c r="D287" s="22">
        <f t="shared" si="29"/>
        <v>160066.7460777353</v>
      </c>
      <c r="E287" s="22">
        <f t="shared" si="30"/>
        <v>401020.41472820286</v>
      </c>
      <c r="F287" s="22">
        <f t="shared" si="31"/>
        <v>44794296.12486764</v>
      </c>
      <c r="G287" s="22">
        <f t="shared" si="34"/>
        <v>79987440.521077797</v>
      </c>
    </row>
    <row r="288" spans="1:7">
      <c r="A288" s="20">
        <f t="shared" si="32"/>
        <v>267</v>
      </c>
      <c r="B288" s="21">
        <f t="shared" si="28"/>
        <v>49522</v>
      </c>
      <c r="C288" s="22">
        <f t="shared" si="33"/>
        <v>44794296.12486764</v>
      </c>
      <c r="D288" s="22">
        <f t="shared" si="29"/>
        <v>158646.46544223957</v>
      </c>
      <c r="E288" s="22">
        <f t="shared" si="30"/>
        <v>402440.69536369864</v>
      </c>
      <c r="F288" s="22">
        <f t="shared" si="31"/>
        <v>44391855.42950394</v>
      </c>
      <c r="G288" s="22">
        <f t="shared" si="34"/>
        <v>80146086.986520037</v>
      </c>
    </row>
    <row r="289" spans="1:7">
      <c r="A289" s="20">
        <f t="shared" si="32"/>
        <v>268</v>
      </c>
      <c r="B289" s="21">
        <f t="shared" si="28"/>
        <v>49553</v>
      </c>
      <c r="C289" s="22">
        <f t="shared" si="33"/>
        <v>44391855.42950394</v>
      </c>
      <c r="D289" s="22">
        <f t="shared" si="29"/>
        <v>157221.15464615979</v>
      </c>
      <c r="E289" s="22">
        <f t="shared" si="30"/>
        <v>403866.00615977839</v>
      </c>
      <c r="F289" s="22">
        <f t="shared" si="31"/>
        <v>43987989.423344165</v>
      </c>
      <c r="G289" s="22">
        <f t="shared" si="34"/>
        <v>80303308.141166195</v>
      </c>
    </row>
    <row r="290" spans="1:7">
      <c r="A290" s="20">
        <f t="shared" si="32"/>
        <v>269</v>
      </c>
      <c r="B290" s="21">
        <f t="shared" si="28"/>
        <v>49583</v>
      </c>
      <c r="C290" s="22">
        <f t="shared" si="33"/>
        <v>43987989.423344165</v>
      </c>
      <c r="D290" s="22">
        <f t="shared" si="29"/>
        <v>155790.79587434392</v>
      </c>
      <c r="E290" s="22">
        <f t="shared" si="30"/>
        <v>405296.36493159423</v>
      </c>
      <c r="F290" s="22">
        <f t="shared" si="31"/>
        <v>43582693.058412574</v>
      </c>
      <c r="G290" s="22">
        <f t="shared" si="34"/>
        <v>80459098.937040538</v>
      </c>
    </row>
    <row r="291" spans="1:7">
      <c r="A291" s="20">
        <f t="shared" si="32"/>
        <v>270</v>
      </c>
      <c r="B291" s="21">
        <f t="shared" si="28"/>
        <v>49614</v>
      </c>
      <c r="C291" s="22">
        <f t="shared" si="33"/>
        <v>43582693.058412574</v>
      </c>
      <c r="D291" s="22">
        <f t="shared" si="29"/>
        <v>154355.37124854454</v>
      </c>
      <c r="E291" s="22">
        <f t="shared" si="30"/>
        <v>406731.78955739364</v>
      </c>
      <c r="F291" s="22">
        <f t="shared" si="31"/>
        <v>43175961.268855184</v>
      </c>
      <c r="G291" s="22">
        <f t="shared" si="34"/>
        <v>80613454.308289081</v>
      </c>
    </row>
    <row r="292" spans="1:7">
      <c r="A292" s="20">
        <f t="shared" si="32"/>
        <v>271</v>
      </c>
      <c r="B292" s="21">
        <f t="shared" si="28"/>
        <v>49644</v>
      </c>
      <c r="C292" s="22">
        <f t="shared" si="33"/>
        <v>43175961.268855184</v>
      </c>
      <c r="D292" s="22">
        <f t="shared" si="29"/>
        <v>152914.86282719547</v>
      </c>
      <c r="E292" s="22">
        <f t="shared" si="30"/>
        <v>408172.29797874275</v>
      </c>
      <c r="F292" s="22">
        <f t="shared" si="31"/>
        <v>42767788.97087644</v>
      </c>
      <c r="G292" s="22">
        <f t="shared" si="34"/>
        <v>80766369.171116278</v>
      </c>
    </row>
    <row r="293" spans="1:7">
      <c r="A293" s="20">
        <f t="shared" si="32"/>
        <v>272</v>
      </c>
      <c r="B293" s="21">
        <f t="shared" si="28"/>
        <v>49675</v>
      </c>
      <c r="C293" s="22">
        <f t="shared" si="33"/>
        <v>42767788.97087644</v>
      </c>
      <c r="D293" s="22">
        <f t="shared" si="29"/>
        <v>151469.25260518742</v>
      </c>
      <c r="E293" s="22">
        <f t="shared" si="30"/>
        <v>409617.90820075077</v>
      </c>
      <c r="F293" s="22">
        <f t="shared" si="31"/>
        <v>42358171.062675692</v>
      </c>
      <c r="G293" s="22">
        <f t="shared" si="34"/>
        <v>80917838.423721462</v>
      </c>
    </row>
    <row r="294" spans="1:7">
      <c r="A294" s="20">
        <f t="shared" si="32"/>
        <v>273</v>
      </c>
      <c r="B294" s="21">
        <f t="shared" si="28"/>
        <v>49706</v>
      </c>
      <c r="C294" s="22">
        <f t="shared" si="33"/>
        <v>42358171.062675692</v>
      </c>
      <c r="D294" s="22">
        <f t="shared" si="29"/>
        <v>150018.52251364308</v>
      </c>
      <c r="E294" s="22">
        <f t="shared" si="30"/>
        <v>411068.6382922951</v>
      </c>
      <c r="F294" s="22">
        <f t="shared" si="31"/>
        <v>41947102.424383394</v>
      </c>
      <c r="G294" s="22">
        <f t="shared" si="34"/>
        <v>81067856.946235105</v>
      </c>
    </row>
    <row r="295" spans="1:7">
      <c r="A295" s="20">
        <f t="shared" si="32"/>
        <v>274</v>
      </c>
      <c r="B295" s="21">
        <f t="shared" si="28"/>
        <v>49735</v>
      </c>
      <c r="C295" s="22">
        <f t="shared" si="33"/>
        <v>41947102.424383394</v>
      </c>
      <c r="D295" s="22">
        <f t="shared" si="29"/>
        <v>148562.65441969119</v>
      </c>
      <c r="E295" s="22">
        <f t="shared" si="30"/>
        <v>412524.506386247</v>
      </c>
      <c r="F295" s="22">
        <f t="shared" si="31"/>
        <v>41534577.917997144</v>
      </c>
      <c r="G295" s="22">
        <f t="shared" si="34"/>
        <v>81216419.600654796</v>
      </c>
    </row>
    <row r="296" spans="1:7">
      <c r="A296" s="20">
        <f t="shared" si="32"/>
        <v>275</v>
      </c>
      <c r="B296" s="21">
        <f t="shared" si="28"/>
        <v>49766</v>
      </c>
      <c r="C296" s="22">
        <f t="shared" si="33"/>
        <v>41534577.917997144</v>
      </c>
      <c r="D296" s="22">
        <f t="shared" si="29"/>
        <v>147101.63012623991</v>
      </c>
      <c r="E296" s="22">
        <f t="shared" si="30"/>
        <v>413985.53067969828</v>
      </c>
      <c r="F296" s="22">
        <f t="shared" si="31"/>
        <v>41120592.387317449</v>
      </c>
      <c r="G296" s="22">
        <f t="shared" si="34"/>
        <v>81363521.230781034</v>
      </c>
    </row>
    <row r="297" spans="1:7">
      <c r="A297" s="20">
        <f t="shared" si="32"/>
        <v>276</v>
      </c>
      <c r="B297" s="21">
        <f t="shared" si="28"/>
        <v>49796</v>
      </c>
      <c r="C297" s="22">
        <f t="shared" si="33"/>
        <v>41120592.387317449</v>
      </c>
      <c r="D297" s="22">
        <f t="shared" si="29"/>
        <v>145635.43137174932</v>
      </c>
      <c r="E297" s="22">
        <f t="shared" si="30"/>
        <v>415451.72943418886</v>
      </c>
      <c r="F297" s="22">
        <f t="shared" si="31"/>
        <v>40705140.657883257</v>
      </c>
      <c r="G297" s="22">
        <f t="shared" si="34"/>
        <v>81509156.662152782</v>
      </c>
    </row>
    <row r="298" spans="1:7">
      <c r="A298" s="20">
        <f t="shared" si="32"/>
        <v>277</v>
      </c>
      <c r="B298" s="21">
        <f t="shared" si="28"/>
        <v>49827</v>
      </c>
      <c r="C298" s="22">
        <f t="shared" si="33"/>
        <v>40705140.657883257</v>
      </c>
      <c r="D298" s="22">
        <f t="shared" si="29"/>
        <v>144164.03983000322</v>
      </c>
      <c r="E298" s="22">
        <f t="shared" si="30"/>
        <v>416923.12097593496</v>
      </c>
      <c r="F298" s="22">
        <f t="shared" si="31"/>
        <v>40288217.536907323</v>
      </c>
      <c r="G298" s="22">
        <f t="shared" si="34"/>
        <v>81653320.701982781</v>
      </c>
    </row>
    <row r="299" spans="1:7">
      <c r="A299" s="20">
        <f t="shared" si="32"/>
        <v>278</v>
      </c>
      <c r="B299" s="21">
        <f t="shared" si="28"/>
        <v>49857</v>
      </c>
      <c r="C299" s="22">
        <f t="shared" si="33"/>
        <v>40288217.536907323</v>
      </c>
      <c r="D299" s="22">
        <f t="shared" si="29"/>
        <v>142687.43710988012</v>
      </c>
      <c r="E299" s="22">
        <f t="shared" si="30"/>
        <v>418399.72369605803</v>
      </c>
      <c r="F299" s="22">
        <f t="shared" si="31"/>
        <v>39869817.813211262</v>
      </c>
      <c r="G299" s="22">
        <f t="shared" si="34"/>
        <v>81796008.139092654</v>
      </c>
    </row>
    <row r="300" spans="1:7">
      <c r="A300" s="20">
        <f t="shared" si="32"/>
        <v>279</v>
      </c>
      <c r="B300" s="21">
        <f t="shared" si="28"/>
        <v>49888</v>
      </c>
      <c r="C300" s="22">
        <f t="shared" si="33"/>
        <v>39869817.813211262</v>
      </c>
      <c r="D300" s="22">
        <f t="shared" si="29"/>
        <v>141205.60475512323</v>
      </c>
      <c r="E300" s="22">
        <f t="shared" si="30"/>
        <v>419881.55605081492</v>
      </c>
      <c r="F300" s="22">
        <f t="shared" si="31"/>
        <v>39449936.257160448</v>
      </c>
      <c r="G300" s="22">
        <f t="shared" si="34"/>
        <v>81937213.743847772</v>
      </c>
    </row>
    <row r="301" spans="1:7">
      <c r="A301" s="20">
        <f t="shared" si="32"/>
        <v>280</v>
      </c>
      <c r="B301" s="21">
        <f t="shared" si="28"/>
        <v>49919</v>
      </c>
      <c r="C301" s="22">
        <f t="shared" si="33"/>
        <v>39449936.257160448</v>
      </c>
      <c r="D301" s="22">
        <f t="shared" si="29"/>
        <v>139718.52424410993</v>
      </c>
      <c r="E301" s="22">
        <f t="shared" si="30"/>
        <v>421368.63656182826</v>
      </c>
      <c r="F301" s="22">
        <f t="shared" si="31"/>
        <v>39028567.620598622</v>
      </c>
      <c r="G301" s="22">
        <f t="shared" si="34"/>
        <v>82076932.268091887</v>
      </c>
    </row>
    <row r="302" spans="1:7">
      <c r="A302" s="20">
        <f t="shared" si="32"/>
        <v>281</v>
      </c>
      <c r="B302" s="21">
        <f t="shared" si="28"/>
        <v>49949</v>
      </c>
      <c r="C302" s="22">
        <f t="shared" si="33"/>
        <v>39028567.620598622</v>
      </c>
      <c r="D302" s="22">
        <f t="shared" si="29"/>
        <v>138226.17698962011</v>
      </c>
      <c r="E302" s="22">
        <f t="shared" si="30"/>
        <v>422860.9838163181</v>
      </c>
      <c r="F302" s="22">
        <f t="shared" si="31"/>
        <v>38605706.636782303</v>
      </c>
      <c r="G302" s="22">
        <f t="shared" si="34"/>
        <v>82215158.445081502</v>
      </c>
    </row>
    <row r="303" spans="1:7">
      <c r="A303" s="20">
        <f t="shared" si="32"/>
        <v>282</v>
      </c>
      <c r="B303" s="21">
        <f t="shared" si="28"/>
        <v>49980</v>
      </c>
      <c r="C303" s="22">
        <f t="shared" si="33"/>
        <v>38605706.636782303</v>
      </c>
      <c r="D303" s="22">
        <f t="shared" si="29"/>
        <v>136728.544338604</v>
      </c>
      <c r="E303" s="22">
        <f t="shared" si="30"/>
        <v>424358.61646733421</v>
      </c>
      <c r="F303" s="22">
        <f t="shared" si="31"/>
        <v>38181348.020314969</v>
      </c>
      <c r="G303" s="22">
        <f t="shared" si="34"/>
        <v>82351886.989420101</v>
      </c>
    </row>
    <row r="304" spans="1:7">
      <c r="A304" s="20">
        <f t="shared" si="32"/>
        <v>283</v>
      </c>
      <c r="B304" s="21">
        <f t="shared" si="28"/>
        <v>50010</v>
      </c>
      <c r="C304" s="22">
        <f t="shared" si="33"/>
        <v>38181348.020314969</v>
      </c>
      <c r="D304" s="22">
        <f t="shared" si="29"/>
        <v>135225.60757194887</v>
      </c>
      <c r="E304" s="22">
        <f t="shared" si="30"/>
        <v>425861.55323398928</v>
      </c>
      <c r="F304" s="22">
        <f t="shared" si="31"/>
        <v>37755486.467080981</v>
      </c>
      <c r="G304" s="22">
        <f t="shared" si="34"/>
        <v>82487112.596992046</v>
      </c>
    </row>
    <row r="305" spans="1:7">
      <c r="A305" s="20">
        <f t="shared" si="32"/>
        <v>284</v>
      </c>
      <c r="B305" s="21">
        <f t="shared" si="28"/>
        <v>50041</v>
      </c>
      <c r="C305" s="22">
        <f t="shared" si="33"/>
        <v>37755486.467080981</v>
      </c>
      <c r="D305" s="22">
        <f t="shared" si="29"/>
        <v>133717.34790424514</v>
      </c>
      <c r="E305" s="22">
        <f t="shared" si="30"/>
        <v>427369.81290169305</v>
      </c>
      <c r="F305" s="22">
        <f t="shared" si="31"/>
        <v>37328116.65417929</v>
      </c>
      <c r="G305" s="22">
        <f t="shared" si="34"/>
        <v>82620829.944896296</v>
      </c>
    </row>
    <row r="306" spans="1:7">
      <c r="A306" s="20">
        <f t="shared" si="32"/>
        <v>285</v>
      </c>
      <c r="B306" s="21">
        <f t="shared" si="28"/>
        <v>50072</v>
      </c>
      <c r="C306" s="22">
        <f t="shared" si="33"/>
        <v>37328116.65417929</v>
      </c>
      <c r="D306" s="22">
        <f t="shared" si="29"/>
        <v>132203.74648355166</v>
      </c>
      <c r="E306" s="22">
        <f t="shared" si="30"/>
        <v>428883.4143223865</v>
      </c>
      <c r="F306" s="22">
        <f t="shared" si="31"/>
        <v>36899233.239856906</v>
      </c>
      <c r="G306" s="22">
        <f t="shared" si="34"/>
        <v>82753033.691379845</v>
      </c>
    </row>
    <row r="307" spans="1:7">
      <c r="A307" s="20">
        <f t="shared" si="32"/>
        <v>286</v>
      </c>
      <c r="B307" s="21">
        <f t="shared" si="28"/>
        <v>50100</v>
      </c>
      <c r="C307" s="22">
        <f t="shared" si="33"/>
        <v>36899233.239856906</v>
      </c>
      <c r="D307" s="22">
        <f t="shared" si="29"/>
        <v>130684.78439115989</v>
      </c>
      <c r="E307" s="22">
        <f t="shared" si="30"/>
        <v>430402.37641477829</v>
      </c>
      <c r="F307" s="22">
        <f t="shared" si="31"/>
        <v>36468830.86344213</v>
      </c>
      <c r="G307" s="22">
        <f t="shared" si="34"/>
        <v>82883718.47577101</v>
      </c>
    </row>
    <row r="308" spans="1:7">
      <c r="A308" s="20">
        <f t="shared" si="32"/>
        <v>287</v>
      </c>
      <c r="B308" s="21">
        <f t="shared" si="28"/>
        <v>50131</v>
      </c>
      <c r="C308" s="22">
        <f t="shared" si="33"/>
        <v>36468830.86344213</v>
      </c>
      <c r="D308" s="22">
        <f t="shared" si="29"/>
        <v>129160.44264135756</v>
      </c>
      <c r="E308" s="22">
        <f t="shared" si="30"/>
        <v>431926.71816458064</v>
      </c>
      <c r="F308" s="22">
        <f t="shared" si="31"/>
        <v>36036904.145277552</v>
      </c>
      <c r="G308" s="22">
        <f t="shared" si="34"/>
        <v>83012878.918412372</v>
      </c>
    </row>
    <row r="309" spans="1:7">
      <c r="A309" s="20">
        <f t="shared" si="32"/>
        <v>288</v>
      </c>
      <c r="B309" s="21">
        <f t="shared" si="28"/>
        <v>50161</v>
      </c>
      <c r="C309" s="22">
        <f t="shared" si="33"/>
        <v>36036904.145277552</v>
      </c>
      <c r="D309" s="22">
        <f t="shared" si="29"/>
        <v>127630.70218119134</v>
      </c>
      <c r="E309" s="22">
        <f t="shared" si="30"/>
        <v>433456.45862474683</v>
      </c>
      <c r="F309" s="22">
        <f t="shared" si="31"/>
        <v>35603447.686652802</v>
      </c>
      <c r="G309" s="22">
        <f t="shared" si="34"/>
        <v>83140509.620593563</v>
      </c>
    </row>
    <row r="310" spans="1:7">
      <c r="A310" s="20">
        <f t="shared" si="32"/>
        <v>289</v>
      </c>
      <c r="B310" s="21">
        <f t="shared" si="28"/>
        <v>50192</v>
      </c>
      <c r="C310" s="22">
        <f t="shared" si="33"/>
        <v>35603447.686652802</v>
      </c>
      <c r="D310" s="22">
        <f t="shared" si="29"/>
        <v>126095.54389022868</v>
      </c>
      <c r="E310" s="22">
        <f t="shared" si="30"/>
        <v>434991.61691570951</v>
      </c>
      <c r="F310" s="22">
        <f t="shared" si="31"/>
        <v>35168456.069737092</v>
      </c>
      <c r="G310" s="22">
        <f t="shared" si="34"/>
        <v>83266605.164483786</v>
      </c>
    </row>
    <row r="311" spans="1:7">
      <c r="A311" s="20">
        <f t="shared" si="32"/>
        <v>290</v>
      </c>
      <c r="B311" s="21">
        <f t="shared" si="28"/>
        <v>50222</v>
      </c>
      <c r="C311" s="22">
        <f t="shared" si="33"/>
        <v>35168456.069737092</v>
      </c>
      <c r="D311" s="22">
        <f t="shared" si="29"/>
        <v>124554.94858031887</v>
      </c>
      <c r="E311" s="22">
        <f t="shared" si="30"/>
        <v>436532.2122256193</v>
      </c>
      <c r="F311" s="22">
        <f t="shared" si="31"/>
        <v>34731923.857511476</v>
      </c>
      <c r="G311" s="22">
        <f t="shared" si="34"/>
        <v>83391160.11306411</v>
      </c>
    </row>
    <row r="312" spans="1:7">
      <c r="A312" s="20">
        <f t="shared" si="32"/>
        <v>291</v>
      </c>
      <c r="B312" s="21">
        <f t="shared" si="28"/>
        <v>50253</v>
      </c>
      <c r="C312" s="22">
        <f t="shared" si="33"/>
        <v>34731923.857511476</v>
      </c>
      <c r="D312" s="22">
        <f t="shared" si="29"/>
        <v>123008.89699535315</v>
      </c>
      <c r="E312" s="22">
        <f t="shared" si="30"/>
        <v>438078.26381058502</v>
      </c>
      <c r="F312" s="22">
        <f t="shared" si="31"/>
        <v>34293845.593700893</v>
      </c>
      <c r="G312" s="22">
        <f t="shared" si="34"/>
        <v>83514169.010059461</v>
      </c>
    </row>
    <row r="313" spans="1:7">
      <c r="A313" s="20">
        <f t="shared" si="32"/>
        <v>292</v>
      </c>
      <c r="B313" s="21">
        <f t="shared" si="28"/>
        <v>50284</v>
      </c>
      <c r="C313" s="22">
        <f t="shared" si="33"/>
        <v>34293845.593700893</v>
      </c>
      <c r="D313" s="22">
        <f t="shared" si="29"/>
        <v>121457.36981102401</v>
      </c>
      <c r="E313" s="22">
        <f t="shared" si="30"/>
        <v>439629.79099491419</v>
      </c>
      <c r="F313" s="22">
        <f t="shared" si="31"/>
        <v>33854215.802705981</v>
      </c>
      <c r="G313" s="22">
        <f t="shared" si="34"/>
        <v>83635626.379870489</v>
      </c>
    </row>
    <row r="314" spans="1:7">
      <c r="A314" s="20">
        <f t="shared" si="32"/>
        <v>293</v>
      </c>
      <c r="B314" s="21">
        <f t="shared" si="28"/>
        <v>50314</v>
      </c>
      <c r="C314" s="22">
        <f t="shared" si="33"/>
        <v>33854215.802705981</v>
      </c>
      <c r="D314" s="22">
        <f t="shared" si="29"/>
        <v>119900.3476345837</v>
      </c>
      <c r="E314" s="22">
        <f t="shared" si="30"/>
        <v>441186.81317135447</v>
      </c>
      <c r="F314" s="22">
        <f t="shared" si="31"/>
        <v>33413028.989534628</v>
      </c>
      <c r="G314" s="22">
        <f t="shared" si="34"/>
        <v>83755526.727505073</v>
      </c>
    </row>
    <row r="315" spans="1:7">
      <c r="A315" s="20">
        <f t="shared" si="32"/>
        <v>294</v>
      </c>
      <c r="B315" s="21">
        <f t="shared" si="28"/>
        <v>50345</v>
      </c>
      <c r="C315" s="22">
        <f t="shared" si="33"/>
        <v>33413028.989534628</v>
      </c>
      <c r="D315" s="22">
        <f t="shared" si="29"/>
        <v>118337.81100460181</v>
      </c>
      <c r="E315" s="22">
        <f t="shared" si="30"/>
        <v>442749.34980133636</v>
      </c>
      <c r="F315" s="22">
        <f t="shared" si="31"/>
        <v>32970279.639733292</v>
      </c>
      <c r="G315" s="22">
        <f t="shared" si="34"/>
        <v>83873864.538509682</v>
      </c>
    </row>
    <row r="316" spans="1:7">
      <c r="A316" s="20">
        <f t="shared" si="32"/>
        <v>295</v>
      </c>
      <c r="B316" s="21">
        <f t="shared" si="28"/>
        <v>50375</v>
      </c>
      <c r="C316" s="22">
        <f t="shared" si="33"/>
        <v>32970279.639733292</v>
      </c>
      <c r="D316" s="22">
        <f t="shared" si="29"/>
        <v>116769.74039072209</v>
      </c>
      <c r="E316" s="22">
        <f t="shared" si="30"/>
        <v>444317.42041521613</v>
      </c>
      <c r="F316" s="22">
        <f t="shared" si="31"/>
        <v>32525962.219318077</v>
      </c>
      <c r="G316" s="22">
        <f t="shared" si="34"/>
        <v>83990634.2789004</v>
      </c>
    </row>
    <row r="317" spans="1:7">
      <c r="A317" s="20">
        <f t="shared" si="32"/>
        <v>296</v>
      </c>
      <c r="B317" s="21">
        <f t="shared" si="28"/>
        <v>50406</v>
      </c>
      <c r="C317" s="22">
        <f t="shared" si="33"/>
        <v>32525962.219318077</v>
      </c>
      <c r="D317" s="22">
        <f t="shared" si="29"/>
        <v>115196.1161934182</v>
      </c>
      <c r="E317" s="22">
        <f t="shared" si="30"/>
        <v>445891.04461251997</v>
      </c>
      <c r="F317" s="22">
        <f t="shared" si="31"/>
        <v>32080071.174705558</v>
      </c>
      <c r="G317" s="22">
        <f t="shared" si="34"/>
        <v>84105830.395093814</v>
      </c>
    </row>
    <row r="318" spans="1:7">
      <c r="A318" s="20">
        <f t="shared" si="32"/>
        <v>297</v>
      </c>
      <c r="B318" s="21">
        <f t="shared" si="28"/>
        <v>50437</v>
      </c>
      <c r="C318" s="22">
        <f t="shared" si="33"/>
        <v>32080071.174705558</v>
      </c>
      <c r="D318" s="22">
        <f t="shared" si="29"/>
        <v>113616.91874374886</v>
      </c>
      <c r="E318" s="22">
        <f t="shared" si="30"/>
        <v>447470.24206218933</v>
      </c>
      <c r="F318" s="22">
        <f t="shared" si="31"/>
        <v>31632600.932643369</v>
      </c>
      <c r="G318" s="22">
        <f t="shared" si="34"/>
        <v>84219447.313837558</v>
      </c>
    </row>
    <row r="319" spans="1:7">
      <c r="A319" s="20">
        <f t="shared" si="32"/>
        <v>298</v>
      </c>
      <c r="B319" s="21">
        <f t="shared" si="28"/>
        <v>50465</v>
      </c>
      <c r="C319" s="22">
        <f t="shared" si="33"/>
        <v>31632600.932643369</v>
      </c>
      <c r="D319" s="22">
        <f t="shared" si="29"/>
        <v>112032.12830311194</v>
      </c>
      <c r="E319" s="22">
        <f t="shared" si="30"/>
        <v>449055.03250282625</v>
      </c>
      <c r="F319" s="22">
        <f t="shared" si="31"/>
        <v>31183545.900140543</v>
      </c>
      <c r="G319" s="22">
        <f t="shared" si="34"/>
        <v>84331479.442140669</v>
      </c>
    </row>
    <row r="320" spans="1:7">
      <c r="A320" s="20">
        <f t="shared" si="32"/>
        <v>299</v>
      </c>
      <c r="B320" s="21">
        <f t="shared" si="28"/>
        <v>50496</v>
      </c>
      <c r="C320" s="22">
        <f t="shared" si="33"/>
        <v>31183545.900140543</v>
      </c>
      <c r="D320" s="22">
        <f t="shared" si="29"/>
        <v>110441.72506299776</v>
      </c>
      <c r="E320" s="22">
        <f t="shared" si="30"/>
        <v>450645.4357429404</v>
      </c>
      <c r="F320" s="22">
        <f t="shared" si="31"/>
        <v>30732900.464397602</v>
      </c>
      <c r="G320" s="22">
        <f t="shared" si="34"/>
        <v>84441921.167203665</v>
      </c>
    </row>
    <row r="321" spans="1:7">
      <c r="A321" s="20">
        <f t="shared" si="32"/>
        <v>300</v>
      </c>
      <c r="B321" s="21">
        <f t="shared" si="28"/>
        <v>50526</v>
      </c>
      <c r="C321" s="22">
        <f t="shared" si="33"/>
        <v>30732900.464397602</v>
      </c>
      <c r="D321" s="22">
        <f t="shared" si="29"/>
        <v>108845.68914474151</v>
      </c>
      <c r="E321" s="22">
        <f t="shared" si="30"/>
        <v>452241.47166119667</v>
      </c>
      <c r="F321" s="22">
        <f t="shared" si="31"/>
        <v>30280658.992736407</v>
      </c>
      <c r="G321" s="22">
        <f t="shared" si="34"/>
        <v>84550766.85634841</v>
      </c>
    </row>
    <row r="322" spans="1:7">
      <c r="A322" s="20">
        <f t="shared" si="32"/>
        <v>301</v>
      </c>
      <c r="B322" s="21">
        <f t="shared" si="28"/>
        <v>50557</v>
      </c>
      <c r="C322" s="22">
        <f t="shared" si="33"/>
        <v>30280658.992736407</v>
      </c>
      <c r="D322" s="22">
        <f t="shared" si="29"/>
        <v>107244.00059927478</v>
      </c>
      <c r="E322" s="22">
        <f t="shared" si="30"/>
        <v>453843.16020666342</v>
      </c>
      <c r="F322" s="22">
        <f t="shared" si="31"/>
        <v>29826815.832529742</v>
      </c>
      <c r="G322" s="22">
        <f t="shared" si="34"/>
        <v>84658010.85694769</v>
      </c>
    </row>
    <row r="323" spans="1:7">
      <c r="A323" s="20">
        <f t="shared" si="32"/>
        <v>302</v>
      </c>
      <c r="B323" s="21">
        <f t="shared" si="28"/>
        <v>50587</v>
      </c>
      <c r="C323" s="22">
        <f t="shared" si="33"/>
        <v>29826815.832529742</v>
      </c>
      <c r="D323" s="22">
        <f t="shared" si="29"/>
        <v>105636.63940687617</v>
      </c>
      <c r="E323" s="22">
        <f t="shared" si="30"/>
        <v>455450.52139906201</v>
      </c>
      <c r="F323" s="22">
        <f t="shared" si="31"/>
        <v>29371365.31113068</v>
      </c>
      <c r="G323" s="22">
        <f t="shared" si="34"/>
        <v>84763647.496354565</v>
      </c>
    </row>
    <row r="324" spans="1:7">
      <c r="A324" s="20">
        <f t="shared" si="32"/>
        <v>303</v>
      </c>
      <c r="B324" s="21">
        <f t="shared" si="28"/>
        <v>50618</v>
      </c>
      <c r="C324" s="22">
        <f t="shared" si="33"/>
        <v>29371365.31113068</v>
      </c>
      <c r="D324" s="22">
        <f t="shared" si="29"/>
        <v>104023.58547692117</v>
      </c>
      <c r="E324" s="22">
        <f t="shared" si="30"/>
        <v>457063.57532901701</v>
      </c>
      <c r="F324" s="22">
        <f t="shared" si="31"/>
        <v>28914301.735801663</v>
      </c>
      <c r="G324" s="22">
        <f t="shared" si="34"/>
        <v>84867671.081831485</v>
      </c>
    </row>
    <row r="325" spans="1:7">
      <c r="A325" s="20">
        <f t="shared" si="32"/>
        <v>304</v>
      </c>
      <c r="B325" s="21">
        <f t="shared" si="28"/>
        <v>50649</v>
      </c>
      <c r="C325" s="22">
        <f t="shared" si="33"/>
        <v>28914301.735801663</v>
      </c>
      <c r="D325" s="22">
        <f t="shared" si="29"/>
        <v>102404.81864763089</v>
      </c>
      <c r="E325" s="22">
        <f t="shared" si="30"/>
        <v>458682.34215830732</v>
      </c>
      <c r="F325" s="22">
        <f t="shared" si="31"/>
        <v>28455619.393643357</v>
      </c>
      <c r="G325" s="22">
        <f t="shared" si="34"/>
        <v>84970075.900479123</v>
      </c>
    </row>
    <row r="326" spans="1:7">
      <c r="A326" s="20">
        <f t="shared" si="32"/>
        <v>305</v>
      </c>
      <c r="B326" s="21">
        <f t="shared" si="28"/>
        <v>50679</v>
      </c>
      <c r="C326" s="22">
        <f t="shared" si="33"/>
        <v>28455619.393643357</v>
      </c>
      <c r="D326" s="22">
        <f t="shared" si="29"/>
        <v>100780.31868582022</v>
      </c>
      <c r="E326" s="22">
        <f t="shared" si="30"/>
        <v>460306.84212011797</v>
      </c>
      <c r="F326" s="22">
        <f t="shared" si="31"/>
        <v>27995312.551523238</v>
      </c>
      <c r="G326" s="22">
        <f t="shared" si="34"/>
        <v>85070856.219164938</v>
      </c>
    </row>
    <row r="327" spans="1:7">
      <c r="A327" s="20">
        <f t="shared" si="32"/>
        <v>306</v>
      </c>
      <c r="B327" s="21">
        <f t="shared" si="28"/>
        <v>50710</v>
      </c>
      <c r="C327" s="22">
        <f t="shared" si="33"/>
        <v>27995312.551523238</v>
      </c>
      <c r="D327" s="22">
        <f t="shared" si="29"/>
        <v>99150.065286644807</v>
      </c>
      <c r="E327" s="22">
        <f t="shared" si="30"/>
        <v>461937.09551929339</v>
      </c>
      <c r="F327" s="22">
        <f t="shared" si="31"/>
        <v>27533375.456003945</v>
      </c>
      <c r="G327" s="22">
        <f t="shared" si="34"/>
        <v>85170006.284451589</v>
      </c>
    </row>
    <row r="328" spans="1:7">
      <c r="A328" s="20">
        <f t="shared" si="32"/>
        <v>307</v>
      </c>
      <c r="B328" s="21">
        <f t="shared" si="28"/>
        <v>50740</v>
      </c>
      <c r="C328" s="22">
        <f t="shared" si="33"/>
        <v>27533375.456003945</v>
      </c>
      <c r="D328" s="22">
        <f t="shared" si="29"/>
        <v>97514.038073347314</v>
      </c>
      <c r="E328" s="22">
        <f t="shared" si="30"/>
        <v>463573.12273259088</v>
      </c>
      <c r="F328" s="22">
        <f t="shared" si="31"/>
        <v>27069802.333271354</v>
      </c>
      <c r="G328" s="22">
        <f t="shared" si="34"/>
        <v>85267520.322524935</v>
      </c>
    </row>
    <row r="329" spans="1:7">
      <c r="A329" s="20">
        <f t="shared" si="32"/>
        <v>308</v>
      </c>
      <c r="B329" s="21">
        <f t="shared" si="28"/>
        <v>50771</v>
      </c>
      <c r="C329" s="22">
        <f t="shared" si="33"/>
        <v>27069802.333271354</v>
      </c>
      <c r="D329" s="22">
        <f t="shared" si="29"/>
        <v>95872.216597002727</v>
      </c>
      <c r="E329" s="22">
        <f t="shared" si="30"/>
        <v>465214.94420893549</v>
      </c>
      <c r="F329" s="22">
        <f t="shared" si="31"/>
        <v>26604587.38906242</v>
      </c>
      <c r="G329" s="22">
        <f t="shared" si="34"/>
        <v>85363392.539121941</v>
      </c>
    </row>
    <row r="330" spans="1:7">
      <c r="A330" s="20">
        <f t="shared" si="32"/>
        <v>309</v>
      </c>
      <c r="B330" s="21">
        <f t="shared" si="28"/>
        <v>50802</v>
      </c>
      <c r="C330" s="22">
        <f t="shared" si="33"/>
        <v>26604587.38906242</v>
      </c>
      <c r="D330" s="22">
        <f t="shared" si="29"/>
        <v>94224.580336262748</v>
      </c>
      <c r="E330" s="22">
        <f t="shared" si="30"/>
        <v>466862.58046967542</v>
      </c>
      <c r="F330" s="22">
        <f t="shared" si="31"/>
        <v>26137724.808592744</v>
      </c>
      <c r="G330" s="22">
        <f t="shared" si="34"/>
        <v>85457617.119458199</v>
      </c>
    </row>
    <row r="331" spans="1:7">
      <c r="A331" s="20">
        <f t="shared" si="32"/>
        <v>310</v>
      </c>
      <c r="B331" s="21">
        <f t="shared" si="28"/>
        <v>50830</v>
      </c>
      <c r="C331" s="22">
        <f t="shared" si="33"/>
        <v>26137724.808592744</v>
      </c>
      <c r="D331" s="22">
        <f t="shared" si="29"/>
        <v>92571.108697099306</v>
      </c>
      <c r="E331" s="22">
        <f t="shared" si="30"/>
        <v>468516.05210883886</v>
      </c>
      <c r="F331" s="22">
        <f t="shared" si="31"/>
        <v>25669208.756483905</v>
      </c>
      <c r="G331" s="22">
        <f t="shared" si="34"/>
        <v>85550188.2281553</v>
      </c>
    </row>
    <row r="332" spans="1:7">
      <c r="A332" s="20">
        <f t="shared" si="32"/>
        <v>311</v>
      </c>
      <c r="B332" s="21">
        <f t="shared" si="28"/>
        <v>50861</v>
      </c>
      <c r="C332" s="22">
        <f t="shared" si="33"/>
        <v>25669208.756483905</v>
      </c>
      <c r="D332" s="22">
        <f t="shared" si="29"/>
        <v>90911.781012547173</v>
      </c>
      <c r="E332" s="22">
        <f t="shared" si="30"/>
        <v>470175.37979339098</v>
      </c>
      <c r="F332" s="22">
        <f t="shared" si="31"/>
        <v>25199033.376690514</v>
      </c>
      <c r="G332" s="22">
        <f t="shared" si="34"/>
        <v>85641100.00916785</v>
      </c>
    </row>
    <row r="333" spans="1:7">
      <c r="A333" s="20">
        <f t="shared" si="32"/>
        <v>312</v>
      </c>
      <c r="B333" s="21">
        <f t="shared" si="28"/>
        <v>50891</v>
      </c>
      <c r="C333" s="22">
        <f t="shared" si="33"/>
        <v>25199033.376690514</v>
      </c>
      <c r="D333" s="22">
        <f t="shared" si="29"/>
        <v>89246.576542445575</v>
      </c>
      <c r="E333" s="22">
        <f t="shared" si="30"/>
        <v>471840.58426349261</v>
      </c>
      <c r="F333" s="22">
        <f t="shared" si="31"/>
        <v>24727192.792427022</v>
      </c>
      <c r="G333" s="22">
        <f t="shared" si="34"/>
        <v>85730346.585710302</v>
      </c>
    </row>
    <row r="334" spans="1:7">
      <c r="A334" s="20">
        <f t="shared" si="32"/>
        <v>313</v>
      </c>
      <c r="B334" s="21">
        <f t="shared" si="28"/>
        <v>50922</v>
      </c>
      <c r="C334" s="22">
        <f t="shared" si="33"/>
        <v>24727192.792427022</v>
      </c>
      <c r="D334" s="22">
        <f t="shared" si="29"/>
        <v>87575.474473179042</v>
      </c>
      <c r="E334" s="22">
        <f t="shared" si="30"/>
        <v>473511.68633275916</v>
      </c>
      <c r="F334" s="22">
        <f t="shared" si="31"/>
        <v>24253681.106094263</v>
      </c>
      <c r="G334" s="22">
        <f t="shared" si="34"/>
        <v>85817922.06018348</v>
      </c>
    </row>
    <row r="335" spans="1:7">
      <c r="A335" s="20">
        <f t="shared" si="32"/>
        <v>314</v>
      </c>
      <c r="B335" s="21">
        <f t="shared" si="28"/>
        <v>50952</v>
      </c>
      <c r="C335" s="22">
        <f t="shared" si="33"/>
        <v>24253681.106094263</v>
      </c>
      <c r="D335" s="22">
        <f t="shared" si="29"/>
        <v>85898.453917417195</v>
      </c>
      <c r="E335" s="22">
        <f t="shared" si="30"/>
        <v>475188.70688852097</v>
      </c>
      <c r="F335" s="22">
        <f t="shared" si="31"/>
        <v>23778492.399205744</v>
      </c>
      <c r="G335" s="22">
        <f t="shared" si="34"/>
        <v>85903820.514100894</v>
      </c>
    </row>
    <row r="336" spans="1:7">
      <c r="A336" s="20">
        <f t="shared" si="32"/>
        <v>315</v>
      </c>
      <c r="B336" s="21">
        <f t="shared" si="28"/>
        <v>50983</v>
      </c>
      <c r="C336" s="22">
        <f t="shared" si="33"/>
        <v>23778492.399205744</v>
      </c>
      <c r="D336" s="22">
        <f t="shared" si="29"/>
        <v>84215.493913853687</v>
      </c>
      <c r="E336" s="22">
        <f t="shared" si="30"/>
        <v>476871.66689208453</v>
      </c>
      <c r="F336" s="22">
        <f t="shared" si="31"/>
        <v>23301620.732313659</v>
      </c>
      <c r="G336" s="22">
        <f t="shared" si="34"/>
        <v>85988036.008014753</v>
      </c>
    </row>
    <row r="337" spans="1:7">
      <c r="A337" s="20">
        <f t="shared" si="32"/>
        <v>316</v>
      </c>
      <c r="B337" s="21">
        <f t="shared" si="28"/>
        <v>51014</v>
      </c>
      <c r="C337" s="22">
        <f t="shared" si="33"/>
        <v>23301620.732313659</v>
      </c>
      <c r="D337" s="22">
        <f t="shared" si="29"/>
        <v>82526.573426944218</v>
      </c>
      <c r="E337" s="22">
        <f t="shared" si="30"/>
        <v>478560.58737899398</v>
      </c>
      <c r="F337" s="22">
        <f t="shared" si="31"/>
        <v>22823060.144934665</v>
      </c>
      <c r="G337" s="22">
        <f t="shared" si="34"/>
        <v>86070562.5814417</v>
      </c>
    </row>
    <row r="338" spans="1:7">
      <c r="A338" s="20">
        <f t="shared" si="32"/>
        <v>317</v>
      </c>
      <c r="B338" s="21">
        <f t="shared" si="28"/>
        <v>51044</v>
      </c>
      <c r="C338" s="22">
        <f t="shared" si="33"/>
        <v>22823060.144934665</v>
      </c>
      <c r="D338" s="22">
        <f t="shared" si="29"/>
        <v>80831.671346643619</v>
      </c>
      <c r="E338" s="22">
        <f t="shared" si="30"/>
        <v>480255.48945929459</v>
      </c>
      <c r="F338" s="22">
        <f t="shared" si="31"/>
        <v>22342804.655475371</v>
      </c>
      <c r="G338" s="22">
        <f t="shared" si="34"/>
        <v>86151394.25278835</v>
      </c>
    </row>
    <row r="339" spans="1:7">
      <c r="A339" s="20">
        <f t="shared" si="32"/>
        <v>318</v>
      </c>
      <c r="B339" s="21">
        <f t="shared" si="28"/>
        <v>51075</v>
      </c>
      <c r="C339" s="22">
        <f t="shared" si="33"/>
        <v>22342804.655475371</v>
      </c>
      <c r="D339" s="22">
        <f t="shared" si="29"/>
        <v>79130.766488141948</v>
      </c>
      <c r="E339" s="22">
        <f t="shared" si="30"/>
        <v>481956.39431779622</v>
      </c>
      <c r="F339" s="22">
        <f t="shared" si="31"/>
        <v>21860848.261157576</v>
      </c>
      <c r="G339" s="22">
        <f t="shared" si="34"/>
        <v>86230525.019276485</v>
      </c>
    </row>
    <row r="340" spans="1:7">
      <c r="A340" s="20">
        <f t="shared" si="32"/>
        <v>319</v>
      </c>
      <c r="B340" s="21">
        <f t="shared" si="28"/>
        <v>51105</v>
      </c>
      <c r="C340" s="22">
        <f t="shared" si="33"/>
        <v>21860848.261157576</v>
      </c>
      <c r="D340" s="22">
        <f t="shared" si="29"/>
        <v>77423.83759159976</v>
      </c>
      <c r="E340" s="22">
        <f t="shared" si="30"/>
        <v>483663.32321433839</v>
      </c>
      <c r="F340" s="22">
        <f t="shared" si="31"/>
        <v>21377184.937943239</v>
      </c>
      <c r="G340" s="22">
        <f t="shared" si="34"/>
        <v>86307948.856868088</v>
      </c>
    </row>
    <row r="341" spans="1:7">
      <c r="A341" s="20">
        <f t="shared" si="32"/>
        <v>320</v>
      </c>
      <c r="B341" s="21">
        <f t="shared" si="28"/>
        <v>51136</v>
      </c>
      <c r="C341" s="22">
        <f t="shared" si="33"/>
        <v>21377184.937943239</v>
      </c>
      <c r="D341" s="22">
        <f t="shared" si="29"/>
        <v>75710.863321882309</v>
      </c>
      <c r="E341" s="22">
        <f t="shared" si="30"/>
        <v>485376.29748405586</v>
      </c>
      <c r="F341" s="22">
        <f t="shared" si="31"/>
        <v>20891808.640459184</v>
      </c>
      <c r="G341" s="22">
        <f t="shared" si="34"/>
        <v>86383659.720189974</v>
      </c>
    </row>
    <row r="342" spans="1:7">
      <c r="A342" s="20">
        <f t="shared" si="32"/>
        <v>321</v>
      </c>
      <c r="B342" s="21">
        <f t="shared" ref="B342:B381" si="35">Show.Date</f>
        <v>51167</v>
      </c>
      <c r="C342" s="22">
        <f t="shared" si="33"/>
        <v>20891808.640459184</v>
      </c>
      <c r="D342" s="22">
        <f t="shared" ref="D342:D381" si="36">Interest</f>
        <v>73991.822268292948</v>
      </c>
      <c r="E342" s="22">
        <f t="shared" ref="E342:E381" si="37">Principal+H342</f>
        <v>487095.33853764524</v>
      </c>
      <c r="F342" s="22">
        <f t="shared" ref="F342:F381" si="38">Ending.Balance</f>
        <v>20404713.301921539</v>
      </c>
      <c r="G342" s="22">
        <f t="shared" si="34"/>
        <v>86457651.542458266</v>
      </c>
    </row>
    <row r="343" spans="1:7">
      <c r="A343" s="20">
        <f t="shared" ref="A343:A381" si="39">payment.Num</f>
        <v>322</v>
      </c>
      <c r="B343" s="21">
        <f t="shared" si="35"/>
        <v>51196</v>
      </c>
      <c r="C343" s="22">
        <f t="shared" ref="C343:C381" si="40">Beg.Bal</f>
        <v>20404713.301921539</v>
      </c>
      <c r="D343" s="22">
        <f t="shared" si="36"/>
        <v>72266.692944305454</v>
      </c>
      <c r="E343" s="22">
        <f t="shared" si="37"/>
        <v>488820.4678616327</v>
      </c>
      <c r="F343" s="22">
        <f t="shared" si="38"/>
        <v>19915892.834059905</v>
      </c>
      <c r="G343" s="22">
        <f t="shared" ref="G343:G381" si="41">Cum.Interest</f>
        <v>86529918.235402569</v>
      </c>
    </row>
    <row r="344" spans="1:7">
      <c r="A344" s="20">
        <f t="shared" si="39"/>
        <v>323</v>
      </c>
      <c r="B344" s="21">
        <f t="shared" si="35"/>
        <v>51227</v>
      </c>
      <c r="C344" s="22">
        <f t="shared" si="40"/>
        <v>19915892.834059905</v>
      </c>
      <c r="D344" s="22">
        <f t="shared" si="36"/>
        <v>70535.453787295497</v>
      </c>
      <c r="E344" s="22">
        <f t="shared" si="37"/>
        <v>490551.70701864269</v>
      </c>
      <c r="F344" s="22">
        <f t="shared" si="38"/>
        <v>19425341.127041262</v>
      </c>
      <c r="G344" s="22">
        <f t="shared" si="41"/>
        <v>86600453.689189866</v>
      </c>
    </row>
    <row r="345" spans="1:7">
      <c r="A345" s="20">
        <f t="shared" si="39"/>
        <v>324</v>
      </c>
      <c r="B345" s="21">
        <f t="shared" si="35"/>
        <v>51257</v>
      </c>
      <c r="C345" s="22">
        <f t="shared" si="40"/>
        <v>19425341.127041262</v>
      </c>
      <c r="D345" s="22">
        <f t="shared" si="36"/>
        <v>68798.08315827114</v>
      </c>
      <c r="E345" s="22">
        <f t="shared" si="37"/>
        <v>492289.07764766703</v>
      </c>
      <c r="F345" s="22">
        <f t="shared" si="38"/>
        <v>18933052.049393594</v>
      </c>
      <c r="G345" s="22">
        <f t="shared" si="41"/>
        <v>86669251.772348136</v>
      </c>
    </row>
    <row r="346" spans="1:7">
      <c r="A346" s="20">
        <f t="shared" si="39"/>
        <v>325</v>
      </c>
      <c r="B346" s="21">
        <f t="shared" si="35"/>
        <v>51288</v>
      </c>
      <c r="C346" s="22">
        <f t="shared" si="40"/>
        <v>18933052.049393594</v>
      </c>
      <c r="D346" s="22">
        <f t="shared" si="36"/>
        <v>67054.559341602318</v>
      </c>
      <c r="E346" s="22">
        <f t="shared" si="37"/>
        <v>494032.60146433586</v>
      </c>
      <c r="F346" s="22">
        <f t="shared" si="38"/>
        <v>18439019.447929259</v>
      </c>
      <c r="G346" s="22">
        <f t="shared" si="41"/>
        <v>86736306.331689745</v>
      </c>
    </row>
    <row r="347" spans="1:7">
      <c r="A347" s="20">
        <f t="shared" si="39"/>
        <v>326</v>
      </c>
      <c r="B347" s="21">
        <f t="shared" si="35"/>
        <v>51318</v>
      </c>
      <c r="C347" s="22">
        <f t="shared" si="40"/>
        <v>18439019.447929259</v>
      </c>
      <c r="D347" s="22">
        <f t="shared" si="36"/>
        <v>65304.860544749463</v>
      </c>
      <c r="E347" s="22">
        <f t="shared" si="37"/>
        <v>495782.30026118871</v>
      </c>
      <c r="F347" s="22">
        <f t="shared" si="38"/>
        <v>17943237.147668071</v>
      </c>
      <c r="G347" s="22">
        <f t="shared" si="41"/>
        <v>86801611.192234501</v>
      </c>
    </row>
    <row r="348" spans="1:7">
      <c r="A348" s="20">
        <f t="shared" si="39"/>
        <v>327</v>
      </c>
      <c r="B348" s="21">
        <f t="shared" si="35"/>
        <v>51349</v>
      </c>
      <c r="C348" s="22">
        <f t="shared" si="40"/>
        <v>17943237.147668071</v>
      </c>
      <c r="D348" s="22">
        <f t="shared" si="36"/>
        <v>63548.964897991093</v>
      </c>
      <c r="E348" s="22">
        <f t="shared" si="37"/>
        <v>497538.19590794708</v>
      </c>
      <c r="F348" s="22">
        <f t="shared" si="38"/>
        <v>17445698.951760124</v>
      </c>
      <c r="G348" s="22">
        <f t="shared" si="41"/>
        <v>86865160.157132491</v>
      </c>
    </row>
    <row r="349" spans="1:7">
      <c r="A349" s="20">
        <f t="shared" si="39"/>
        <v>328</v>
      </c>
      <c r="B349" s="21">
        <f t="shared" si="35"/>
        <v>51380</v>
      </c>
      <c r="C349" s="22">
        <f t="shared" si="40"/>
        <v>17445698.951760124</v>
      </c>
      <c r="D349" s="22">
        <f t="shared" si="36"/>
        <v>61786.850454150444</v>
      </c>
      <c r="E349" s="22">
        <f t="shared" si="37"/>
        <v>499300.31035178772</v>
      </c>
      <c r="F349" s="22">
        <f t="shared" si="38"/>
        <v>16946398.641408335</v>
      </c>
      <c r="G349" s="22">
        <f t="shared" si="41"/>
        <v>86926947.007586643</v>
      </c>
    </row>
    <row r="350" spans="1:7">
      <c r="A350" s="20">
        <f t="shared" si="39"/>
        <v>329</v>
      </c>
      <c r="B350" s="21">
        <f t="shared" si="35"/>
        <v>51410</v>
      </c>
      <c r="C350" s="22">
        <f t="shared" si="40"/>
        <v>16946398.641408335</v>
      </c>
      <c r="D350" s="22">
        <f t="shared" si="36"/>
        <v>60018.495188321191</v>
      </c>
      <c r="E350" s="22">
        <f t="shared" si="37"/>
        <v>501068.66561761696</v>
      </c>
      <c r="F350" s="22">
        <f t="shared" si="38"/>
        <v>16445329.975790719</v>
      </c>
      <c r="G350" s="22">
        <f t="shared" si="41"/>
        <v>86986965.502774969</v>
      </c>
    </row>
    <row r="351" spans="1:7">
      <c r="A351" s="20">
        <f t="shared" si="39"/>
        <v>330</v>
      </c>
      <c r="B351" s="21">
        <f t="shared" si="35"/>
        <v>51441</v>
      </c>
      <c r="C351" s="22">
        <f t="shared" si="40"/>
        <v>16445329.975790719</v>
      </c>
      <c r="D351" s="22">
        <f t="shared" si="36"/>
        <v>58243.876997592131</v>
      </c>
      <c r="E351" s="22">
        <f t="shared" si="37"/>
        <v>502843.28380834602</v>
      </c>
      <c r="F351" s="22">
        <f t="shared" si="38"/>
        <v>15942486.691982372</v>
      </c>
      <c r="G351" s="22">
        <f t="shared" si="41"/>
        <v>87045209.379772559</v>
      </c>
    </row>
    <row r="352" spans="1:7">
      <c r="A352" s="20">
        <f t="shared" si="39"/>
        <v>331</v>
      </c>
      <c r="B352" s="21">
        <f t="shared" si="35"/>
        <v>51471</v>
      </c>
      <c r="C352" s="22">
        <f t="shared" si="40"/>
        <v>15942486.691982372</v>
      </c>
      <c r="D352" s="22">
        <f t="shared" si="36"/>
        <v>56462.973700770905</v>
      </c>
      <c r="E352" s="22">
        <f t="shared" si="37"/>
        <v>504624.18710516731</v>
      </c>
      <c r="F352" s="22">
        <f t="shared" si="38"/>
        <v>15437862.504877204</v>
      </c>
      <c r="G352" s="22">
        <f t="shared" si="41"/>
        <v>87101672.353473336</v>
      </c>
    </row>
    <row r="353" spans="1:7">
      <c r="A353" s="20">
        <f t="shared" si="39"/>
        <v>332</v>
      </c>
      <c r="B353" s="21">
        <f t="shared" si="35"/>
        <v>51502</v>
      </c>
      <c r="C353" s="22">
        <f t="shared" si="40"/>
        <v>15437862.504877204</v>
      </c>
      <c r="D353" s="22">
        <f t="shared" si="36"/>
        <v>54675.763038106772</v>
      </c>
      <c r="E353" s="22">
        <f t="shared" si="37"/>
        <v>506411.3977678314</v>
      </c>
      <c r="F353" s="22">
        <f t="shared" si="38"/>
        <v>14931451.107109373</v>
      </c>
      <c r="G353" s="22">
        <f t="shared" si="41"/>
        <v>87156348.116511449</v>
      </c>
    </row>
    <row r="354" spans="1:7">
      <c r="A354" s="20">
        <f t="shared" si="39"/>
        <v>333</v>
      </c>
      <c r="B354" s="21">
        <f t="shared" si="35"/>
        <v>51533</v>
      </c>
      <c r="C354" s="22">
        <f t="shared" si="40"/>
        <v>14931451.107109373</v>
      </c>
      <c r="D354" s="22">
        <f t="shared" si="36"/>
        <v>52882.222671012365</v>
      </c>
      <c r="E354" s="22">
        <f t="shared" si="37"/>
        <v>508204.93813492579</v>
      </c>
      <c r="F354" s="22">
        <f t="shared" si="38"/>
        <v>14423246.168974448</v>
      </c>
      <c r="G354" s="22">
        <f t="shared" si="41"/>
        <v>87209230.339182466</v>
      </c>
    </row>
    <row r="355" spans="1:7">
      <c r="A355" s="20">
        <f t="shared" si="39"/>
        <v>334</v>
      </c>
      <c r="B355" s="21">
        <f t="shared" si="35"/>
        <v>51561</v>
      </c>
      <c r="C355" s="22">
        <f t="shared" si="40"/>
        <v>14423246.168974448</v>
      </c>
      <c r="D355" s="22">
        <f t="shared" si="36"/>
        <v>51082.330181784506</v>
      </c>
      <c r="E355" s="22">
        <f t="shared" si="37"/>
        <v>510004.83062415366</v>
      </c>
      <c r="F355" s="22">
        <f t="shared" si="38"/>
        <v>13913241.338350294</v>
      </c>
      <c r="G355" s="22">
        <f t="shared" si="41"/>
        <v>87260312.669364244</v>
      </c>
    </row>
    <row r="356" spans="1:7">
      <c r="A356" s="20">
        <f t="shared" si="39"/>
        <v>335</v>
      </c>
      <c r="B356" s="21">
        <f t="shared" si="35"/>
        <v>51592</v>
      </c>
      <c r="C356" s="22">
        <f t="shared" si="40"/>
        <v>13913241.338350294</v>
      </c>
      <c r="D356" s="22">
        <f t="shared" si="36"/>
        <v>49276.06307332396</v>
      </c>
      <c r="E356" s="22">
        <f t="shared" si="37"/>
        <v>511811.0977326142</v>
      </c>
      <c r="F356" s="22">
        <f t="shared" si="38"/>
        <v>13401430.240617679</v>
      </c>
      <c r="G356" s="22">
        <f t="shared" si="41"/>
        <v>87309588.732437566</v>
      </c>
    </row>
    <row r="357" spans="1:7">
      <c r="A357" s="20">
        <f t="shared" si="39"/>
        <v>336</v>
      </c>
      <c r="B357" s="21">
        <f t="shared" si="35"/>
        <v>51622</v>
      </c>
      <c r="C357" s="22">
        <f t="shared" si="40"/>
        <v>13401430.240617679</v>
      </c>
      <c r="D357" s="22">
        <f t="shared" si="36"/>
        <v>47463.398768854284</v>
      </c>
      <c r="E357" s="22">
        <f t="shared" si="37"/>
        <v>513623.76203708391</v>
      </c>
      <c r="F357" s="22">
        <f t="shared" si="38"/>
        <v>12887806.478580596</v>
      </c>
      <c r="G357" s="22">
        <f t="shared" si="41"/>
        <v>87357052.131206423</v>
      </c>
    </row>
    <row r="358" spans="1:7">
      <c r="A358" s="20">
        <f t="shared" si="39"/>
        <v>337</v>
      </c>
      <c r="B358" s="21">
        <f t="shared" si="35"/>
        <v>51653</v>
      </c>
      <c r="C358" s="22">
        <f t="shared" si="40"/>
        <v>12887806.478580596</v>
      </c>
      <c r="D358" s="22">
        <f t="shared" si="36"/>
        <v>45644.314611639616</v>
      </c>
      <c r="E358" s="22">
        <f t="shared" si="37"/>
        <v>515442.84619429859</v>
      </c>
      <c r="F358" s="22">
        <f t="shared" si="38"/>
        <v>12372363.632386297</v>
      </c>
      <c r="G358" s="22">
        <f t="shared" si="41"/>
        <v>87402696.445818067</v>
      </c>
    </row>
    <row r="359" spans="1:7">
      <c r="A359" s="20">
        <f t="shared" si="39"/>
        <v>338</v>
      </c>
      <c r="B359" s="21">
        <f t="shared" si="35"/>
        <v>51683</v>
      </c>
      <c r="C359" s="22">
        <f t="shared" si="40"/>
        <v>12372363.632386297</v>
      </c>
      <c r="D359" s="22">
        <f t="shared" si="36"/>
        <v>43818.787864701473</v>
      </c>
      <c r="E359" s="22">
        <f t="shared" si="37"/>
        <v>517268.37294123671</v>
      </c>
      <c r="F359" s="22">
        <f t="shared" si="38"/>
        <v>11855095.25944506</v>
      </c>
      <c r="G359" s="22">
        <f t="shared" si="41"/>
        <v>87446515.233682767</v>
      </c>
    </row>
    <row r="360" spans="1:7">
      <c r="A360" s="20">
        <f t="shared" si="39"/>
        <v>339</v>
      </c>
      <c r="B360" s="21">
        <f t="shared" si="35"/>
        <v>51714</v>
      </c>
      <c r="C360" s="22">
        <f t="shared" si="40"/>
        <v>11855095.25944506</v>
      </c>
      <c r="D360" s="22">
        <f t="shared" si="36"/>
        <v>41986.795710534592</v>
      </c>
      <c r="E360" s="22">
        <f t="shared" si="37"/>
        <v>519100.36509540357</v>
      </c>
      <c r="F360" s="22">
        <f t="shared" si="38"/>
        <v>11335994.894349657</v>
      </c>
      <c r="G360" s="22">
        <f t="shared" si="41"/>
        <v>87488502.0293933</v>
      </c>
    </row>
    <row r="361" spans="1:7">
      <c r="A361" s="20">
        <f t="shared" si="39"/>
        <v>340</v>
      </c>
      <c r="B361" s="21">
        <f t="shared" si="35"/>
        <v>51745</v>
      </c>
      <c r="C361" s="22">
        <f t="shared" si="40"/>
        <v>11335994.894349657</v>
      </c>
      <c r="D361" s="22">
        <f t="shared" si="36"/>
        <v>40148.315250821703</v>
      </c>
      <c r="E361" s="22">
        <f t="shared" si="37"/>
        <v>520938.84555511648</v>
      </c>
      <c r="F361" s="22">
        <f t="shared" si="38"/>
        <v>10815056.04879454</v>
      </c>
      <c r="G361" s="22">
        <f t="shared" si="41"/>
        <v>87528650.344644129</v>
      </c>
    </row>
    <row r="362" spans="1:7">
      <c r="A362" s="20">
        <f t="shared" si="39"/>
        <v>341</v>
      </c>
      <c r="B362" s="21">
        <f t="shared" si="35"/>
        <v>51775</v>
      </c>
      <c r="C362" s="22">
        <f t="shared" si="40"/>
        <v>10815056.04879454</v>
      </c>
      <c r="D362" s="22">
        <f t="shared" si="36"/>
        <v>38303.323506147331</v>
      </c>
      <c r="E362" s="22">
        <f t="shared" si="37"/>
        <v>522783.83729979087</v>
      </c>
      <c r="F362" s="22">
        <f t="shared" si="38"/>
        <v>10292272.211494749</v>
      </c>
      <c r="G362" s="22">
        <f t="shared" si="41"/>
        <v>87566953.668150276</v>
      </c>
    </row>
    <row r="363" spans="1:7">
      <c r="A363" s="20">
        <f t="shared" si="39"/>
        <v>342</v>
      </c>
      <c r="B363" s="21">
        <f t="shared" si="35"/>
        <v>51806</v>
      </c>
      <c r="C363" s="22">
        <f t="shared" si="40"/>
        <v>10292272.211494749</v>
      </c>
      <c r="D363" s="22">
        <f t="shared" si="36"/>
        <v>36451.797415710571</v>
      </c>
      <c r="E363" s="22">
        <f t="shared" si="37"/>
        <v>524635.36339022766</v>
      </c>
      <c r="F363" s="22">
        <f t="shared" si="38"/>
        <v>9767636.8481045216</v>
      </c>
      <c r="G363" s="22">
        <f t="shared" si="41"/>
        <v>87603405.465565979</v>
      </c>
    </row>
    <row r="364" spans="1:7">
      <c r="A364" s="20">
        <f t="shared" si="39"/>
        <v>343</v>
      </c>
      <c r="B364" s="21">
        <f t="shared" si="35"/>
        <v>51836</v>
      </c>
      <c r="C364" s="22">
        <f t="shared" si="40"/>
        <v>9767636.8481045216</v>
      </c>
      <c r="D364" s="22">
        <f t="shared" si="36"/>
        <v>34593.713837036848</v>
      </c>
      <c r="E364" s="22">
        <f t="shared" si="37"/>
        <v>526493.44696890132</v>
      </c>
      <c r="F364" s="22">
        <f t="shared" si="38"/>
        <v>9241143.4011356197</v>
      </c>
      <c r="G364" s="22">
        <f t="shared" si="41"/>
        <v>87637999.179403022</v>
      </c>
    </row>
    <row r="365" spans="1:7">
      <c r="A365" s="20">
        <f t="shared" si="39"/>
        <v>344</v>
      </c>
      <c r="B365" s="21">
        <f t="shared" si="35"/>
        <v>51867</v>
      </c>
      <c r="C365" s="22">
        <f t="shared" si="40"/>
        <v>9241143.4011356197</v>
      </c>
      <c r="D365" s="22">
        <f t="shared" si="36"/>
        <v>32729.049545688657</v>
      </c>
      <c r="E365" s="22">
        <f t="shared" si="37"/>
        <v>528358.11126024951</v>
      </c>
      <c r="F365" s="22">
        <f t="shared" si="38"/>
        <v>8712785.2898753695</v>
      </c>
      <c r="G365" s="22">
        <f t="shared" si="41"/>
        <v>87670728.228948712</v>
      </c>
    </row>
    <row r="366" spans="1:7">
      <c r="A366" s="20">
        <f t="shared" si="39"/>
        <v>345</v>
      </c>
      <c r="B366" s="21">
        <f t="shared" si="35"/>
        <v>51898</v>
      </c>
      <c r="C366" s="22">
        <f t="shared" si="40"/>
        <v>8712785.2898753695</v>
      </c>
      <c r="D366" s="22">
        <f t="shared" si="36"/>
        <v>30857.781234975268</v>
      </c>
      <c r="E366" s="22">
        <f t="shared" si="37"/>
        <v>530229.37957096286</v>
      </c>
      <c r="F366" s="22">
        <f t="shared" si="38"/>
        <v>8182555.9103044067</v>
      </c>
      <c r="G366" s="22">
        <f t="shared" si="41"/>
        <v>87701586.010183692</v>
      </c>
    </row>
    <row r="367" spans="1:7">
      <c r="A367" s="20">
        <f t="shared" si="39"/>
        <v>346</v>
      </c>
      <c r="B367" s="21">
        <f t="shared" si="35"/>
        <v>51926</v>
      </c>
      <c r="C367" s="22">
        <f t="shared" si="40"/>
        <v>8182555.9103044067</v>
      </c>
      <c r="D367" s="22">
        <f t="shared" si="36"/>
        <v>28979.885515661441</v>
      </c>
      <c r="E367" s="22">
        <f t="shared" si="37"/>
        <v>532107.27529027674</v>
      </c>
      <c r="F367" s="22">
        <f t="shared" si="38"/>
        <v>7650448.6350141298</v>
      </c>
      <c r="G367" s="22">
        <f t="shared" si="41"/>
        <v>87730565.895699352</v>
      </c>
    </row>
    <row r="368" spans="1:7">
      <c r="A368" s="20">
        <f t="shared" si="39"/>
        <v>347</v>
      </c>
      <c r="B368" s="21">
        <f t="shared" si="35"/>
        <v>51957</v>
      </c>
      <c r="C368" s="22">
        <f t="shared" si="40"/>
        <v>7650448.6350141298</v>
      </c>
      <c r="D368" s="22">
        <f t="shared" si="36"/>
        <v>27095.338915675045</v>
      </c>
      <c r="E368" s="22">
        <f t="shared" si="37"/>
        <v>533991.82189026312</v>
      </c>
      <c r="F368" s="22">
        <f t="shared" si="38"/>
        <v>7116456.8131238669</v>
      </c>
      <c r="G368" s="22">
        <f t="shared" si="41"/>
        <v>87757661.234615028</v>
      </c>
    </row>
    <row r="369" spans="1:7">
      <c r="A369" s="20">
        <f t="shared" si="39"/>
        <v>348</v>
      </c>
      <c r="B369" s="21">
        <f t="shared" si="35"/>
        <v>51987</v>
      </c>
      <c r="C369" s="22">
        <f t="shared" si="40"/>
        <v>7116456.8131238669</v>
      </c>
      <c r="D369" s="22">
        <f t="shared" si="36"/>
        <v>25204.117879813697</v>
      </c>
      <c r="E369" s="22">
        <f t="shared" si="37"/>
        <v>535883.04292612453</v>
      </c>
      <c r="F369" s="22">
        <f t="shared" si="38"/>
        <v>6580573.7701977426</v>
      </c>
      <c r="G369" s="22">
        <f t="shared" si="41"/>
        <v>87782865.352494836</v>
      </c>
    </row>
    <row r="370" spans="1:7">
      <c r="A370" s="20">
        <f t="shared" si="39"/>
        <v>349</v>
      </c>
      <c r="B370" s="21">
        <f t="shared" si="35"/>
        <v>52018</v>
      </c>
      <c r="C370" s="22">
        <f t="shared" si="40"/>
        <v>6580573.7701977426</v>
      </c>
      <c r="D370" s="22">
        <f t="shared" si="36"/>
        <v>23306.19876945034</v>
      </c>
      <c r="E370" s="22">
        <f t="shared" si="37"/>
        <v>537780.96203648788</v>
      </c>
      <c r="F370" s="22">
        <f t="shared" si="38"/>
        <v>6042792.808161255</v>
      </c>
      <c r="G370" s="22">
        <f t="shared" si="41"/>
        <v>87806171.551264286</v>
      </c>
    </row>
    <row r="371" spans="1:7">
      <c r="A371" s="20">
        <f t="shared" si="39"/>
        <v>350</v>
      </c>
      <c r="B371" s="21">
        <f t="shared" si="35"/>
        <v>52048</v>
      </c>
      <c r="C371" s="22">
        <f t="shared" si="40"/>
        <v>6042792.808161255</v>
      </c>
      <c r="D371" s="22">
        <f t="shared" si="36"/>
        <v>21401.55786223778</v>
      </c>
      <c r="E371" s="22">
        <f t="shared" si="37"/>
        <v>539685.60294370039</v>
      </c>
      <c r="F371" s="22">
        <f t="shared" si="38"/>
        <v>5503107.2052175542</v>
      </c>
      <c r="G371" s="22">
        <f t="shared" si="41"/>
        <v>87827573.109126523</v>
      </c>
    </row>
    <row r="372" spans="1:7">
      <c r="A372" s="20">
        <f t="shared" si="39"/>
        <v>351</v>
      </c>
      <c r="B372" s="21">
        <f t="shared" si="35"/>
        <v>52079</v>
      </c>
      <c r="C372" s="22">
        <f t="shared" si="40"/>
        <v>5503107.2052175542</v>
      </c>
      <c r="D372" s="22">
        <f t="shared" si="36"/>
        <v>19490.171351812172</v>
      </c>
      <c r="E372" s="22">
        <f t="shared" si="37"/>
        <v>541596.98945412599</v>
      </c>
      <c r="F372" s="22">
        <f t="shared" si="38"/>
        <v>4961510.2157634282</v>
      </c>
      <c r="G372" s="22">
        <f t="shared" si="41"/>
        <v>87847063.280478328</v>
      </c>
    </row>
    <row r="373" spans="1:7">
      <c r="A373" s="20">
        <f t="shared" si="39"/>
        <v>352</v>
      </c>
      <c r="B373" s="21">
        <f t="shared" si="35"/>
        <v>52110</v>
      </c>
      <c r="C373" s="22">
        <f t="shared" si="40"/>
        <v>4961510.2157634282</v>
      </c>
      <c r="D373" s="22">
        <f t="shared" si="36"/>
        <v>17572.015347495475</v>
      </c>
      <c r="E373" s="22">
        <f t="shared" si="37"/>
        <v>543515.14545844274</v>
      </c>
      <c r="F373" s="22">
        <f t="shared" si="38"/>
        <v>4417995.0703049852</v>
      </c>
      <c r="G373" s="22">
        <f t="shared" si="41"/>
        <v>87864635.295825824</v>
      </c>
    </row>
    <row r="374" spans="1:7">
      <c r="A374" s="20">
        <f t="shared" si="39"/>
        <v>353</v>
      </c>
      <c r="B374" s="21">
        <f t="shared" si="35"/>
        <v>52140</v>
      </c>
      <c r="C374" s="22">
        <f t="shared" si="40"/>
        <v>4417995.0703049852</v>
      </c>
      <c r="D374" s="22">
        <f t="shared" si="36"/>
        <v>15647.065873996824</v>
      </c>
      <c r="E374" s="22">
        <f t="shared" si="37"/>
        <v>545440.09493194136</v>
      </c>
      <c r="F374" s="22">
        <f t="shared" si="38"/>
        <v>3872554.9753730437</v>
      </c>
      <c r="G374" s="22">
        <f t="shared" si="41"/>
        <v>87880282.36169982</v>
      </c>
    </row>
    <row r="375" spans="1:7">
      <c r="A375" s="20">
        <f t="shared" si="39"/>
        <v>354</v>
      </c>
      <c r="B375" s="21">
        <f t="shared" si="35"/>
        <v>52171</v>
      </c>
      <c r="C375" s="22">
        <f t="shared" si="40"/>
        <v>3872554.9753730437</v>
      </c>
      <c r="D375" s="22">
        <f t="shared" si="36"/>
        <v>13715.298871112864</v>
      </c>
      <c r="E375" s="22">
        <f t="shared" si="37"/>
        <v>547371.86193482531</v>
      </c>
      <c r="F375" s="22">
        <f t="shared" si="38"/>
        <v>3325183.1134382184</v>
      </c>
      <c r="G375" s="22">
        <f t="shared" si="41"/>
        <v>87893997.660570934</v>
      </c>
    </row>
    <row r="376" spans="1:7">
      <c r="A376" s="20">
        <f t="shared" si="39"/>
        <v>355</v>
      </c>
      <c r="B376" s="21">
        <f t="shared" si="35"/>
        <v>52201</v>
      </c>
      <c r="C376" s="22">
        <f t="shared" si="40"/>
        <v>3325183.1134382184</v>
      </c>
      <c r="D376" s="22">
        <f t="shared" si="36"/>
        <v>11776.690193427024</v>
      </c>
      <c r="E376" s="22">
        <f t="shared" si="37"/>
        <v>549310.47061251116</v>
      </c>
      <c r="F376" s="22">
        <f t="shared" si="38"/>
        <v>2775872.6428257073</v>
      </c>
      <c r="G376" s="22">
        <f t="shared" si="41"/>
        <v>87905774.350764364</v>
      </c>
    </row>
    <row r="377" spans="1:7">
      <c r="A377" s="20">
        <f t="shared" si="39"/>
        <v>356</v>
      </c>
      <c r="B377" s="21">
        <f t="shared" si="35"/>
        <v>52232</v>
      </c>
      <c r="C377" s="22">
        <f t="shared" si="40"/>
        <v>2775872.6428257073</v>
      </c>
      <c r="D377" s="22">
        <f t="shared" si="36"/>
        <v>9831.2156100077136</v>
      </c>
      <c r="E377" s="22">
        <f t="shared" si="37"/>
        <v>551255.94519593043</v>
      </c>
      <c r="F377" s="22">
        <f t="shared" si="38"/>
        <v>2224616.6976297768</v>
      </c>
      <c r="G377" s="22">
        <f t="shared" si="41"/>
        <v>87915605.566374376</v>
      </c>
    </row>
    <row r="378" spans="1:7">
      <c r="A378" s="20">
        <f t="shared" si="39"/>
        <v>357</v>
      </c>
      <c r="B378" s="21">
        <f t="shared" si="35"/>
        <v>52263</v>
      </c>
      <c r="C378" s="22">
        <f t="shared" si="40"/>
        <v>2224616.6976297768</v>
      </c>
      <c r="D378" s="22">
        <f t="shared" si="36"/>
        <v>7878.8508041054602</v>
      </c>
      <c r="E378" s="22">
        <f t="shared" si="37"/>
        <v>553208.31000183267</v>
      </c>
      <c r="F378" s="22">
        <f t="shared" si="38"/>
        <v>1671408.3876279441</v>
      </c>
      <c r="G378" s="22">
        <f t="shared" si="41"/>
        <v>87923484.417178482</v>
      </c>
    </row>
    <row r="379" spans="1:7">
      <c r="A379" s="20">
        <f t="shared" si="39"/>
        <v>358</v>
      </c>
      <c r="B379" s="21">
        <f t="shared" si="35"/>
        <v>52291</v>
      </c>
      <c r="C379" s="22">
        <f t="shared" si="40"/>
        <v>1671408.3876279441</v>
      </c>
      <c r="D379" s="22">
        <f t="shared" si="36"/>
        <v>5919.5713728489691</v>
      </c>
      <c r="E379" s="22">
        <f t="shared" si="37"/>
        <v>555167.58943308925</v>
      </c>
      <c r="F379" s="22">
        <f t="shared" si="38"/>
        <v>1116240.798194855</v>
      </c>
      <c r="G379" s="22">
        <f t="shared" si="41"/>
        <v>87929403.988551334</v>
      </c>
    </row>
    <row r="380" spans="1:7">
      <c r="A380" s="20">
        <f t="shared" si="39"/>
        <v>359</v>
      </c>
      <c r="B380" s="21">
        <f t="shared" si="35"/>
        <v>52322</v>
      </c>
      <c r="C380" s="22">
        <f t="shared" si="40"/>
        <v>1116240.798194855</v>
      </c>
      <c r="D380" s="22">
        <f t="shared" si="36"/>
        <v>3953.3528269401118</v>
      </c>
      <c r="E380" s="22">
        <f t="shared" si="37"/>
        <v>557133.80797899805</v>
      </c>
      <c r="F380" s="22">
        <f t="shared" si="38"/>
        <v>559106.99021585693</v>
      </c>
      <c r="G380" s="22">
        <f t="shared" si="41"/>
        <v>87933357.341378272</v>
      </c>
    </row>
    <row r="381" spans="1:7">
      <c r="A381" s="20">
        <f t="shared" si="39"/>
        <v>360</v>
      </c>
      <c r="B381" s="21">
        <f t="shared" si="35"/>
        <v>52352</v>
      </c>
      <c r="C381" s="22">
        <f t="shared" si="40"/>
        <v>559106.99021585693</v>
      </c>
      <c r="D381" s="22">
        <f t="shared" si="36"/>
        <v>1980.1705903478269</v>
      </c>
      <c r="E381" s="22">
        <f t="shared" si="37"/>
        <v>559106.99021559034</v>
      </c>
      <c r="F381" s="22">
        <f t="shared" si="38"/>
        <v>2.6659108698368073E-7</v>
      </c>
      <c r="G381" s="22">
        <f t="shared" si="41"/>
        <v>87935337.511968613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BC9A-062A-4485-BF8E-48BEEA713F4D}">
  <sheetPr>
    <tabColor rgb="FF00B0F0"/>
  </sheetPr>
  <dimension ref="A1:S65"/>
  <sheetViews>
    <sheetView zoomScaleNormal="100" workbookViewId="0">
      <selection activeCell="J13" sqref="J13"/>
    </sheetView>
  </sheetViews>
  <sheetFormatPr defaultRowHeight="15"/>
  <cols>
    <col min="1" max="1" width="29.85546875" style="49" bestFit="1" customWidth="1"/>
    <col min="2" max="2" width="18.5703125" style="49" customWidth="1"/>
    <col min="3" max="3" width="16" style="49" customWidth="1"/>
    <col min="4" max="4" width="2.5703125" style="49" customWidth="1"/>
    <col min="5" max="5" width="24.5703125" style="49" bestFit="1" customWidth="1"/>
    <col min="6" max="6" width="19.28515625" style="49" bestFit="1" customWidth="1"/>
    <col min="7" max="7" width="20.85546875" style="49" bestFit="1" customWidth="1"/>
    <col min="8" max="8" width="12.42578125" style="49" bestFit="1" customWidth="1"/>
    <col min="9" max="16" width="9.85546875" style="49" bestFit="1" customWidth="1"/>
    <col min="17" max="17" width="6.140625" style="49" bestFit="1" customWidth="1"/>
    <col min="18" max="18" width="23.85546875" style="49" bestFit="1" customWidth="1"/>
    <col min="19" max="19" width="9.140625" style="49"/>
  </cols>
  <sheetData>
    <row r="1" spans="1:18" ht="15.75" thickBot="1">
      <c r="A1" s="270"/>
      <c r="B1" s="270"/>
      <c r="C1" s="270"/>
      <c r="D1" s="270"/>
      <c r="E1" s="270"/>
      <c r="F1" s="271"/>
      <c r="G1" s="272" t="s">
        <v>124</v>
      </c>
      <c r="H1" s="272" t="s">
        <v>0</v>
      </c>
      <c r="I1" s="272" t="s">
        <v>1</v>
      </c>
      <c r="J1" s="272" t="s">
        <v>2</v>
      </c>
      <c r="K1" s="272" t="s">
        <v>3</v>
      </c>
      <c r="L1" s="272" t="s">
        <v>4</v>
      </c>
      <c r="M1" s="272" t="s">
        <v>5</v>
      </c>
      <c r="N1" s="272" t="s">
        <v>101</v>
      </c>
      <c r="O1" s="272" t="s">
        <v>102</v>
      </c>
      <c r="P1" s="272" t="s">
        <v>103</v>
      </c>
      <c r="Q1" s="273"/>
    </row>
    <row r="2" spans="1:18" ht="15.75" thickBot="1">
      <c r="A2" s="614"/>
      <c r="B2" s="615"/>
      <c r="C2" s="616"/>
      <c r="D2" s="270"/>
      <c r="E2" s="270"/>
      <c r="F2" s="274" t="s">
        <v>125</v>
      </c>
      <c r="G2" s="277">
        <v>0</v>
      </c>
      <c r="H2" s="277">
        <v>0.03</v>
      </c>
      <c r="I2" s="277">
        <v>2.75E-2</v>
      </c>
      <c r="J2" s="277">
        <f>I2</f>
        <v>2.75E-2</v>
      </c>
      <c r="K2" s="277">
        <f t="shared" ref="K2:P4" si="0">J2</f>
        <v>2.75E-2</v>
      </c>
      <c r="L2" s="277">
        <f t="shared" si="0"/>
        <v>2.75E-2</v>
      </c>
      <c r="M2" s="277">
        <f t="shared" si="0"/>
        <v>2.75E-2</v>
      </c>
      <c r="N2" s="277">
        <f t="shared" si="0"/>
        <v>2.75E-2</v>
      </c>
      <c r="O2" s="277">
        <f t="shared" si="0"/>
        <v>2.75E-2</v>
      </c>
      <c r="P2" s="277">
        <f t="shared" si="0"/>
        <v>2.75E-2</v>
      </c>
      <c r="Q2" s="273"/>
    </row>
    <row r="3" spans="1:18">
      <c r="A3" s="275"/>
      <c r="B3" s="275"/>
      <c r="C3" s="275"/>
      <c r="D3" s="270"/>
      <c r="E3" s="270"/>
      <c r="F3" s="274" t="s">
        <v>129</v>
      </c>
      <c r="G3" s="277">
        <v>0.02</v>
      </c>
      <c r="H3" s="277">
        <v>1.4999999999999999E-2</v>
      </c>
      <c r="I3" s="277">
        <v>1.4999999999999999E-2</v>
      </c>
      <c r="J3" s="277">
        <v>1.4999999999999999E-2</v>
      </c>
      <c r="K3" s="277">
        <v>1.4999999999999999E-2</v>
      </c>
      <c r="L3" s="277">
        <v>1.4999999999999999E-2</v>
      </c>
      <c r="M3" s="277">
        <v>1.4999999999999999E-2</v>
      </c>
      <c r="N3" s="277">
        <v>1.4999999999999999E-2</v>
      </c>
      <c r="O3" s="277">
        <v>1.4999999999999999E-2</v>
      </c>
      <c r="P3" s="277">
        <v>1.4999999999999999E-2</v>
      </c>
      <c r="Q3" s="273"/>
    </row>
    <row r="4" spans="1:18" ht="15.75" thickBot="1">
      <c r="A4" s="270"/>
      <c r="B4" s="270"/>
      <c r="C4" s="270"/>
      <c r="D4" s="270"/>
      <c r="E4" s="270"/>
      <c r="F4" s="276" t="s">
        <v>6</v>
      </c>
      <c r="G4" s="417">
        <v>0.1</v>
      </c>
      <c r="H4" s="417">
        <v>7.0000000000000007E-2</v>
      </c>
      <c r="I4" s="417">
        <v>0.06</v>
      </c>
      <c r="J4" s="417">
        <f>I4</f>
        <v>0.06</v>
      </c>
      <c r="K4" s="417">
        <f t="shared" si="0"/>
        <v>0.06</v>
      </c>
      <c r="L4" s="417">
        <f t="shared" si="0"/>
        <v>0.06</v>
      </c>
      <c r="M4" s="417">
        <f t="shared" si="0"/>
        <v>0.06</v>
      </c>
      <c r="N4" s="417">
        <f t="shared" si="0"/>
        <v>0.06</v>
      </c>
      <c r="O4" s="417">
        <f t="shared" si="0"/>
        <v>0.06</v>
      </c>
      <c r="P4" s="417">
        <f t="shared" si="0"/>
        <v>0.06</v>
      </c>
      <c r="Q4" s="273"/>
    </row>
    <row r="5" spans="1:18" ht="15.75" thickBot="1">
      <c r="A5" s="603" t="s">
        <v>122</v>
      </c>
      <c r="B5" s="604"/>
      <c r="C5" s="605"/>
      <c r="D5" s="270"/>
      <c r="E5" s="270"/>
      <c r="F5" s="276" t="s">
        <v>175</v>
      </c>
      <c r="G5" s="277">
        <v>0.01</v>
      </c>
      <c r="H5" s="277">
        <f>G5</f>
        <v>0.01</v>
      </c>
      <c r="I5" s="277">
        <f t="shared" ref="I5:P8" si="1">H5</f>
        <v>0.01</v>
      </c>
      <c r="J5" s="277">
        <f t="shared" si="1"/>
        <v>0.01</v>
      </c>
      <c r="K5" s="277">
        <f t="shared" si="1"/>
        <v>0.01</v>
      </c>
      <c r="L5" s="277">
        <f t="shared" si="1"/>
        <v>0.01</v>
      </c>
      <c r="M5" s="277">
        <f t="shared" si="1"/>
        <v>0.01</v>
      </c>
      <c r="N5" s="277">
        <f t="shared" si="1"/>
        <v>0.01</v>
      </c>
      <c r="O5" s="277">
        <f t="shared" si="1"/>
        <v>0.01</v>
      </c>
      <c r="P5" s="277">
        <f t="shared" si="1"/>
        <v>0.01</v>
      </c>
      <c r="Q5" s="273"/>
    </row>
    <row r="6" spans="1:18" ht="15.75" thickBot="1">
      <c r="A6" s="278" t="s">
        <v>57</v>
      </c>
      <c r="B6" s="279"/>
      <c r="C6" s="280"/>
      <c r="D6" s="270"/>
      <c r="E6" s="270"/>
      <c r="F6" s="276" t="s">
        <v>7</v>
      </c>
      <c r="G6" s="277">
        <v>0.02</v>
      </c>
      <c r="H6" s="277">
        <v>1.4999999999999999E-2</v>
      </c>
      <c r="I6" s="277">
        <v>1.4999999999999999E-2</v>
      </c>
      <c r="J6" s="277">
        <f t="shared" si="1"/>
        <v>1.4999999999999999E-2</v>
      </c>
      <c r="K6" s="277">
        <f t="shared" si="1"/>
        <v>1.4999999999999999E-2</v>
      </c>
      <c r="L6" s="277">
        <f t="shared" si="1"/>
        <v>1.4999999999999999E-2</v>
      </c>
      <c r="M6" s="277">
        <f t="shared" si="1"/>
        <v>1.4999999999999999E-2</v>
      </c>
      <c r="N6" s="277">
        <f t="shared" si="1"/>
        <v>1.4999999999999999E-2</v>
      </c>
      <c r="O6" s="277">
        <f t="shared" si="1"/>
        <v>1.4999999999999999E-2</v>
      </c>
      <c r="P6" s="277">
        <f t="shared" si="1"/>
        <v>1.4999999999999999E-2</v>
      </c>
      <c r="Q6" s="273"/>
    </row>
    <row r="7" spans="1:18" ht="15.75" thickBot="1">
      <c r="A7" s="281" t="s">
        <v>58</v>
      </c>
      <c r="B7" s="282"/>
      <c r="C7" s="283" t="s">
        <v>59</v>
      </c>
      <c r="D7" s="270"/>
      <c r="E7" s="270"/>
      <c r="F7" s="276" t="s">
        <v>134</v>
      </c>
      <c r="G7" s="277"/>
      <c r="H7" s="277">
        <v>2.2499999999999999E-2</v>
      </c>
      <c r="I7" s="277">
        <f t="shared" si="1"/>
        <v>2.2499999999999999E-2</v>
      </c>
      <c r="J7" s="277">
        <f t="shared" si="1"/>
        <v>2.2499999999999999E-2</v>
      </c>
      <c r="K7" s="277">
        <f t="shared" si="1"/>
        <v>2.2499999999999999E-2</v>
      </c>
      <c r="L7" s="277">
        <f t="shared" si="1"/>
        <v>2.2499999999999999E-2</v>
      </c>
      <c r="M7" s="277">
        <f t="shared" si="1"/>
        <v>2.2499999999999999E-2</v>
      </c>
      <c r="N7" s="277">
        <f t="shared" si="1"/>
        <v>2.2499999999999999E-2</v>
      </c>
      <c r="O7" s="277">
        <f t="shared" si="1"/>
        <v>2.2499999999999999E-2</v>
      </c>
      <c r="P7" s="277">
        <f t="shared" si="1"/>
        <v>2.2499999999999999E-2</v>
      </c>
      <c r="Q7" s="273"/>
    </row>
    <row r="8" spans="1:18" ht="15.75" thickBot="1">
      <c r="A8" s="281" t="s">
        <v>60</v>
      </c>
      <c r="B8" s="282"/>
      <c r="C8" s="284">
        <v>530160</v>
      </c>
      <c r="D8" s="270"/>
      <c r="E8" s="270"/>
      <c r="F8" s="276" t="s">
        <v>135</v>
      </c>
      <c r="G8" s="246" t="s">
        <v>258</v>
      </c>
      <c r="H8" s="277">
        <v>2.5000000000000001E-2</v>
      </c>
      <c r="I8" s="277">
        <v>2.5000000000000001E-2</v>
      </c>
      <c r="J8" s="277">
        <v>2.5000000000000001E-2</v>
      </c>
      <c r="K8" s="277">
        <f>J8</f>
        <v>2.5000000000000001E-2</v>
      </c>
      <c r="L8" s="285">
        <f t="shared" si="1"/>
        <v>2.5000000000000001E-2</v>
      </c>
      <c r="M8" s="285">
        <f t="shared" si="1"/>
        <v>2.5000000000000001E-2</v>
      </c>
      <c r="N8" s="285">
        <f t="shared" si="1"/>
        <v>2.5000000000000001E-2</v>
      </c>
      <c r="O8" s="285">
        <f t="shared" si="1"/>
        <v>2.5000000000000001E-2</v>
      </c>
      <c r="P8" s="285">
        <f t="shared" si="1"/>
        <v>2.5000000000000001E-2</v>
      </c>
      <c r="Q8" s="273"/>
    </row>
    <row r="9" spans="1:18" ht="15.75" thickBot="1">
      <c r="A9" s="281" t="s">
        <v>61</v>
      </c>
      <c r="B9" s="282"/>
      <c r="C9" s="286">
        <v>583</v>
      </c>
      <c r="D9" s="270"/>
      <c r="E9" s="270"/>
      <c r="F9" s="271"/>
      <c r="G9" s="270"/>
      <c r="H9" s="287"/>
      <c r="I9" s="270"/>
      <c r="J9" s="270"/>
      <c r="K9" s="270"/>
      <c r="L9" s="270"/>
      <c r="M9" s="270"/>
      <c r="N9" s="288"/>
      <c r="O9" s="270"/>
      <c r="P9" s="270"/>
      <c r="Q9" s="273"/>
    </row>
    <row r="10" spans="1:18" ht="15.75" thickBot="1">
      <c r="A10" s="281" t="s">
        <v>123</v>
      </c>
      <c r="B10" s="289"/>
      <c r="C10" s="290">
        <f>C8/C9</f>
        <v>909.36535162950258</v>
      </c>
      <c r="D10" s="270"/>
      <c r="E10" s="291"/>
      <c r="F10" s="292"/>
      <c r="G10" s="291" t="s">
        <v>29</v>
      </c>
      <c r="H10" s="540" t="s">
        <v>0</v>
      </c>
      <c r="I10" s="541" t="s">
        <v>1</v>
      </c>
      <c r="J10" s="541" t="s">
        <v>2</v>
      </c>
      <c r="K10" s="541" t="s">
        <v>3</v>
      </c>
      <c r="L10" s="541" t="s">
        <v>4</v>
      </c>
      <c r="M10" s="541" t="s">
        <v>5</v>
      </c>
      <c r="N10" s="541" t="s">
        <v>101</v>
      </c>
      <c r="O10" s="541" t="s">
        <v>102</v>
      </c>
      <c r="P10" s="542" t="s">
        <v>103</v>
      </c>
      <c r="Q10" s="273"/>
      <c r="R10" s="547" t="s">
        <v>253</v>
      </c>
    </row>
    <row r="11" spans="1:18" ht="15.75" thickBot="1">
      <c r="A11" s="293" t="s">
        <v>62</v>
      </c>
      <c r="B11" s="294"/>
      <c r="C11" s="295">
        <v>1972</v>
      </c>
      <c r="D11" s="270"/>
      <c r="E11" s="603" t="s">
        <v>31</v>
      </c>
      <c r="F11" s="604"/>
      <c r="G11" s="605"/>
      <c r="H11" s="296"/>
      <c r="I11" s="297"/>
      <c r="J11" s="297"/>
      <c r="K11" s="297"/>
      <c r="L11" s="297"/>
      <c r="M11" s="297"/>
      <c r="N11" s="297"/>
      <c r="O11" s="297"/>
      <c r="P11" s="298"/>
      <c r="Q11" s="273"/>
      <c r="R11" s="543"/>
    </row>
    <row r="12" spans="1:18" ht="15.75" thickBot="1">
      <c r="A12" s="270"/>
      <c r="B12" s="270"/>
      <c r="C12" s="270"/>
      <c r="D12" s="270"/>
      <c r="E12" s="278" t="s">
        <v>180</v>
      </c>
      <c r="F12" s="299">
        <v>830</v>
      </c>
      <c r="G12" s="300">
        <f>F12*C9*12</f>
        <v>5806680</v>
      </c>
      <c r="H12" s="301">
        <f t="shared" ref="H12:P12" si="2">G12*H2+G12</f>
        <v>5980880.4000000004</v>
      </c>
      <c r="I12" s="302">
        <f t="shared" si="2"/>
        <v>6145354.6110000005</v>
      </c>
      <c r="J12" s="302">
        <f t="shared" si="2"/>
        <v>6314351.8628025008</v>
      </c>
      <c r="K12" s="302">
        <f t="shared" si="2"/>
        <v>6487996.5390295694</v>
      </c>
      <c r="L12" s="302">
        <f t="shared" si="2"/>
        <v>6666416.4438528828</v>
      </c>
      <c r="M12" s="302">
        <f t="shared" si="2"/>
        <v>6849742.896058837</v>
      </c>
      <c r="N12" s="302">
        <f t="shared" si="2"/>
        <v>7038110.8257004553</v>
      </c>
      <c r="O12" s="302">
        <f t="shared" si="2"/>
        <v>7231658.8734072177</v>
      </c>
      <c r="P12" s="303">
        <f t="shared" si="2"/>
        <v>7430529.4924259158</v>
      </c>
      <c r="Q12" s="273"/>
      <c r="R12" s="544">
        <f>H12</f>
        <v>5980880.4000000004</v>
      </c>
    </row>
    <row r="13" spans="1:18" ht="15.75" thickBot="1">
      <c r="A13" s="603" t="s">
        <v>44</v>
      </c>
      <c r="B13" s="604"/>
      <c r="C13" s="605"/>
      <c r="D13" s="270"/>
      <c r="E13" s="304" t="s">
        <v>132</v>
      </c>
      <c r="F13" s="494">
        <f>'Combined Cash Flow'!G2</f>
        <v>210</v>
      </c>
      <c r="G13" s="305">
        <f>'B - Reno '!M8</f>
        <v>262080</v>
      </c>
      <c r="H13" s="306">
        <f>'B - Reno '!M12</f>
        <v>745920</v>
      </c>
      <c r="I13" s="496">
        <f>'B - Reno '!M11*12</f>
        <v>967680</v>
      </c>
      <c r="J13" s="496">
        <f t="shared" ref="J13:P13" si="3">I13*J2+I13</f>
        <v>994291.19999999995</v>
      </c>
      <c r="K13" s="496">
        <f t="shared" si="3"/>
        <v>1021634.208</v>
      </c>
      <c r="L13" s="496">
        <f t="shared" si="3"/>
        <v>1049729.1487199999</v>
      </c>
      <c r="M13" s="496">
        <f t="shared" si="3"/>
        <v>1078596.7003098</v>
      </c>
      <c r="N13" s="496">
        <f t="shared" si="3"/>
        <v>1108258.1095683195</v>
      </c>
      <c r="O13" s="496">
        <f t="shared" si="3"/>
        <v>1138735.2075814484</v>
      </c>
      <c r="P13" s="308">
        <f t="shared" si="3"/>
        <v>1170050.4257899383</v>
      </c>
      <c r="Q13" s="273"/>
      <c r="R13" s="545">
        <f>'B - Reno '!M11*12</f>
        <v>967680</v>
      </c>
    </row>
    <row r="14" spans="1:18" ht="15.75" thickBot="1">
      <c r="A14" s="281" t="s">
        <v>25</v>
      </c>
      <c r="B14" s="309"/>
      <c r="C14" s="518">
        <v>55000000</v>
      </c>
      <c r="D14" s="287"/>
      <c r="E14" s="304" t="s">
        <v>128</v>
      </c>
      <c r="F14" s="310">
        <f>G14/(G13+G12)</f>
        <v>-0.02</v>
      </c>
      <c r="G14" s="305">
        <f>-(G13+G12)*G3</f>
        <v>-121375.2</v>
      </c>
      <c r="H14" s="306">
        <f>-(H13+H12)*H3</f>
        <v>-100902.00600000001</v>
      </c>
      <c r="I14" s="496">
        <f t="shared" ref="I14:P14" si="4">-(I13+I12)*I3</f>
        <v>-106695.51916500001</v>
      </c>
      <c r="J14" s="496">
        <f t="shared" si="4"/>
        <v>-109629.64594203752</v>
      </c>
      <c r="K14" s="496">
        <f t="shared" si="4"/>
        <v>-112644.46120544353</v>
      </c>
      <c r="L14" s="496">
        <f t="shared" si="4"/>
        <v>-115742.18388859324</v>
      </c>
      <c r="M14" s="496">
        <f t="shared" si="4"/>
        <v>-118925.09394552954</v>
      </c>
      <c r="N14" s="496">
        <f t="shared" si="4"/>
        <v>-122195.53402903161</v>
      </c>
      <c r="O14" s="496">
        <f t="shared" si="4"/>
        <v>-125555.91121482999</v>
      </c>
      <c r="P14" s="308">
        <f t="shared" si="4"/>
        <v>-129008.6987732378</v>
      </c>
      <c r="Q14" s="273"/>
      <c r="R14" s="545">
        <f>-(R13+R12)*H3</f>
        <v>-104228.406</v>
      </c>
    </row>
    <row r="15" spans="1:18" ht="15.75" thickBot="1">
      <c r="A15" s="281" t="s">
        <v>45</v>
      </c>
      <c r="B15" s="311"/>
      <c r="C15" s="520">
        <f>C14/C9</f>
        <v>94339.622641509428</v>
      </c>
      <c r="D15" s="270"/>
      <c r="E15" s="312" t="s">
        <v>6</v>
      </c>
      <c r="F15" s="313">
        <f>G15/(G12+G13)</f>
        <v>-0.1</v>
      </c>
      <c r="G15" s="305">
        <f t="shared" ref="G15:P15" si="5">-(G12+G13)*G4</f>
        <v>-606876</v>
      </c>
      <c r="H15" s="306">
        <f t="shared" si="5"/>
        <v>-470876.02800000005</v>
      </c>
      <c r="I15" s="496">
        <f t="shared" si="5"/>
        <v>-426782.07666000002</v>
      </c>
      <c r="J15" s="496">
        <f t="shared" si="5"/>
        <v>-438518.58376815007</v>
      </c>
      <c r="K15" s="496">
        <f t="shared" si="5"/>
        <v>-450577.84482177411</v>
      </c>
      <c r="L15" s="496">
        <f t="shared" si="5"/>
        <v>-462968.73555437295</v>
      </c>
      <c r="M15" s="496">
        <f t="shared" si="5"/>
        <v>-475700.37578211818</v>
      </c>
      <c r="N15" s="496">
        <f t="shared" si="5"/>
        <v>-488782.13611612644</v>
      </c>
      <c r="O15" s="496">
        <f t="shared" si="5"/>
        <v>-502223.64485931996</v>
      </c>
      <c r="P15" s="308">
        <f t="shared" si="5"/>
        <v>-516034.79509295122</v>
      </c>
      <c r="Q15" s="273"/>
      <c r="R15" s="545">
        <f>-(R13+R12)*H4</f>
        <v>-486399.22800000006</v>
      </c>
    </row>
    <row r="16" spans="1:18" ht="15.75" thickBot="1">
      <c r="A16" s="281" t="s">
        <v>46</v>
      </c>
      <c r="B16" s="282"/>
      <c r="C16" s="314">
        <f>G40</f>
        <v>2794076.6931416122</v>
      </c>
      <c r="D16" s="270"/>
      <c r="E16" s="312" t="s">
        <v>175</v>
      </c>
      <c r="F16" s="315"/>
      <c r="G16" s="305">
        <f t="shared" ref="G16:P16" si="6">-G12*G5</f>
        <v>-58066.8</v>
      </c>
      <c r="H16" s="306">
        <f>-H12*H5</f>
        <v>-59808.804000000004</v>
      </c>
      <c r="I16" s="496">
        <f t="shared" si="6"/>
        <v>-61453.546110000003</v>
      </c>
      <c r="J16" s="496">
        <f t="shared" si="6"/>
        <v>-63143.518628025013</v>
      </c>
      <c r="K16" s="496">
        <f t="shared" si="6"/>
        <v>-64879.965390295692</v>
      </c>
      <c r="L16" s="496">
        <f t="shared" si="6"/>
        <v>-66664.164438528824</v>
      </c>
      <c r="M16" s="496">
        <f t="shared" si="6"/>
        <v>-68497.428960588368</v>
      </c>
      <c r="N16" s="496">
        <f t="shared" si="6"/>
        <v>-70381.108257004555</v>
      </c>
      <c r="O16" s="496">
        <f t="shared" si="6"/>
        <v>-72316.588734072182</v>
      </c>
      <c r="P16" s="308">
        <f t="shared" si="6"/>
        <v>-74305.294924259157</v>
      </c>
      <c r="Q16" s="273"/>
      <c r="R16" s="545">
        <f>-R12*H5</f>
        <v>-59808.804000000004</v>
      </c>
    </row>
    <row r="17" spans="1:18" ht="15.75" thickBot="1">
      <c r="A17" s="281" t="s">
        <v>47</v>
      </c>
      <c r="B17" s="282"/>
      <c r="C17" s="316">
        <f>C16/C14</f>
        <v>5.0801394420756589E-2</v>
      </c>
      <c r="D17" s="270"/>
      <c r="E17" s="317" t="s">
        <v>7</v>
      </c>
      <c r="F17" s="318"/>
      <c r="G17" s="305">
        <f>-(G12+G13)*G6</f>
        <v>-121375.2</v>
      </c>
      <c r="H17" s="306">
        <f>-(H12+H13)*H6</f>
        <v>-100902.00600000001</v>
      </c>
      <c r="I17" s="496">
        <f t="shared" ref="I17:P17" si="7">-(I12+I13)*I6</f>
        <v>-106695.51916500001</v>
      </c>
      <c r="J17" s="496">
        <f t="shared" si="7"/>
        <v>-109629.64594203752</v>
      </c>
      <c r="K17" s="496">
        <f t="shared" si="7"/>
        <v>-112644.46120544353</v>
      </c>
      <c r="L17" s="496">
        <f t="shared" si="7"/>
        <v>-115742.18388859324</v>
      </c>
      <c r="M17" s="496">
        <f t="shared" si="7"/>
        <v>-118925.09394552954</v>
      </c>
      <c r="N17" s="496">
        <f t="shared" si="7"/>
        <v>-122195.53402903161</v>
      </c>
      <c r="O17" s="496">
        <f t="shared" si="7"/>
        <v>-125555.91121482999</v>
      </c>
      <c r="P17" s="308">
        <f t="shared" si="7"/>
        <v>-129008.6987732378</v>
      </c>
      <c r="Q17" s="273"/>
      <c r="R17" s="546">
        <f>-(R12+R13)*H6</f>
        <v>-104228.406</v>
      </c>
    </row>
    <row r="18" spans="1:18" ht="15.75" thickBot="1">
      <c r="A18" s="281" t="s">
        <v>131</v>
      </c>
      <c r="B18" s="501">
        <v>1.4999999999999999E-2</v>
      </c>
      <c r="C18" s="284">
        <f>B18*C14</f>
        <v>825000</v>
      </c>
      <c r="D18" s="270"/>
      <c r="E18" s="317" t="s">
        <v>222</v>
      </c>
      <c r="F18" s="526">
        <f>'Combined Cash Flow'!G3</f>
        <v>85</v>
      </c>
      <c r="G18" s="496">
        <f>'B - Reno '!M24</f>
        <v>145860</v>
      </c>
      <c r="H18" s="306">
        <f>'B - Reno '!M29</f>
        <v>415140</v>
      </c>
      <c r="I18" s="496">
        <f>'B - Reno '!M28*12</f>
        <v>538560</v>
      </c>
      <c r="J18" s="496">
        <f>I18</f>
        <v>538560</v>
      </c>
      <c r="K18" s="496">
        <f t="shared" ref="K18:P18" si="8">J18</f>
        <v>538560</v>
      </c>
      <c r="L18" s="496">
        <f t="shared" si="8"/>
        <v>538560</v>
      </c>
      <c r="M18" s="496">
        <f t="shared" si="8"/>
        <v>538560</v>
      </c>
      <c r="N18" s="496">
        <f t="shared" si="8"/>
        <v>538560</v>
      </c>
      <c r="O18" s="496">
        <f t="shared" si="8"/>
        <v>538560</v>
      </c>
      <c r="P18" s="308">
        <f t="shared" si="8"/>
        <v>538560</v>
      </c>
      <c r="Q18" s="273"/>
      <c r="R18" s="545">
        <f>'B - Reno '!M28*12</f>
        <v>538560</v>
      </c>
    </row>
    <row r="19" spans="1:18" ht="15.75" thickBot="1">
      <c r="A19" s="281" t="s">
        <v>133</v>
      </c>
      <c r="B19" s="319">
        <v>0.01</v>
      </c>
      <c r="C19" s="284">
        <f>C14*B19</f>
        <v>550000</v>
      </c>
      <c r="D19" s="270"/>
      <c r="E19" s="320" t="s">
        <v>223</v>
      </c>
      <c r="F19" s="527" t="s">
        <v>221</v>
      </c>
      <c r="G19" s="149">
        <f>350*C9</f>
        <v>204050</v>
      </c>
      <c r="H19" s="322">
        <f t="shared" ref="H19:P19" si="9">G19*H2+G19</f>
        <v>210171.5</v>
      </c>
      <c r="I19" s="321">
        <f t="shared" si="9"/>
        <v>215951.21625</v>
      </c>
      <c r="J19" s="321">
        <f t="shared" si="9"/>
        <v>221889.87469687499</v>
      </c>
      <c r="K19" s="321">
        <f t="shared" si="9"/>
        <v>227991.84625103907</v>
      </c>
      <c r="L19" s="321">
        <f t="shared" si="9"/>
        <v>234261.62202294264</v>
      </c>
      <c r="M19" s="321">
        <f t="shared" si="9"/>
        <v>240703.81662857355</v>
      </c>
      <c r="N19" s="321">
        <f t="shared" si="9"/>
        <v>247323.17158585932</v>
      </c>
      <c r="O19" s="321">
        <f t="shared" si="9"/>
        <v>254124.55880447046</v>
      </c>
      <c r="P19" s="323">
        <f t="shared" si="9"/>
        <v>261112.98417159339</v>
      </c>
      <c r="Q19" s="273"/>
      <c r="R19" s="544">
        <f>H19</f>
        <v>210171.5</v>
      </c>
    </row>
    <row r="20" spans="1:18" ht="15.75" thickBot="1">
      <c r="A20" s="281" t="s">
        <v>172</v>
      </c>
      <c r="B20" s="328">
        <f>C20/C9</f>
        <v>0</v>
      </c>
      <c r="C20" s="284"/>
      <c r="D20" s="270"/>
      <c r="E20" s="291" t="s">
        <v>8</v>
      </c>
      <c r="F20" s="324"/>
      <c r="G20" s="325">
        <f t="shared" ref="G20:P20" si="10">SUM(G12:G19)</f>
        <v>5510976.7999999998</v>
      </c>
      <c r="H20" s="326">
        <f t="shared" si="10"/>
        <v>6619623.0560000008</v>
      </c>
      <c r="I20" s="325">
        <f t="shared" si="10"/>
        <v>7165919.1661499999</v>
      </c>
      <c r="J20" s="325">
        <f t="shared" si="10"/>
        <v>7348171.5432191249</v>
      </c>
      <c r="K20" s="325">
        <f t="shared" si="10"/>
        <v>7535435.860657651</v>
      </c>
      <c r="L20" s="325">
        <f t="shared" si="10"/>
        <v>7727849.9468257362</v>
      </c>
      <c r="M20" s="325">
        <f t="shared" si="10"/>
        <v>7925555.4203634448</v>
      </c>
      <c r="N20" s="325">
        <f t="shared" si="10"/>
        <v>8128697.7944234405</v>
      </c>
      <c r="O20" s="325">
        <f t="shared" si="10"/>
        <v>8337426.5837700833</v>
      </c>
      <c r="P20" s="327">
        <f t="shared" si="10"/>
        <v>8551895.4148237612</v>
      </c>
      <c r="Q20" s="273"/>
      <c r="R20" s="548">
        <f>SUM(R12:R19)</f>
        <v>6942627.0559999989</v>
      </c>
    </row>
    <row r="21" spans="1:18" ht="15.75" thickBot="1">
      <c r="A21" s="281" t="s">
        <v>49</v>
      </c>
      <c r="B21" s="282"/>
      <c r="C21" s="284">
        <f>C29</f>
        <v>44000000</v>
      </c>
      <c r="D21" s="270"/>
      <c r="E21" s="603" t="s">
        <v>9</v>
      </c>
      <c r="F21" s="604"/>
      <c r="G21" s="604"/>
      <c r="H21" s="292"/>
      <c r="I21" s="292"/>
      <c r="J21" s="292"/>
      <c r="K21" s="292"/>
      <c r="L21" s="292"/>
      <c r="M21" s="292"/>
      <c r="N21" s="292"/>
      <c r="O21" s="292"/>
      <c r="P21" s="329"/>
      <c r="Q21" s="273"/>
    </row>
    <row r="22" spans="1:18" ht="15.75" thickBot="1">
      <c r="A22" s="281" t="s">
        <v>40</v>
      </c>
      <c r="B22" s="282"/>
      <c r="C22" s="330">
        <f>C21/C14</f>
        <v>0.8</v>
      </c>
      <c r="D22" s="270"/>
      <c r="E22" s="336" t="s">
        <v>11</v>
      </c>
      <c r="F22" s="340">
        <f>Payroll!C39</f>
        <v>818.35511982570802</v>
      </c>
      <c r="G22" s="328">
        <f>F22*C9</f>
        <v>477101.03485838778</v>
      </c>
      <c r="H22" s="337">
        <f t="shared" ref="H22:P22" si="11">G22*H7+G22</f>
        <v>487835.80814270151</v>
      </c>
      <c r="I22" s="338">
        <f t="shared" si="11"/>
        <v>498812.1138259123</v>
      </c>
      <c r="J22" s="338">
        <f t="shared" si="11"/>
        <v>510035.38638699532</v>
      </c>
      <c r="K22" s="338">
        <f t="shared" si="11"/>
        <v>521511.18258070271</v>
      </c>
      <c r="L22" s="338">
        <f t="shared" si="11"/>
        <v>533245.1841887685</v>
      </c>
      <c r="M22" s="338">
        <f t="shared" si="11"/>
        <v>545243.20083301584</v>
      </c>
      <c r="N22" s="338">
        <f t="shared" si="11"/>
        <v>557511.17285175866</v>
      </c>
      <c r="O22" s="338">
        <f t="shared" si="11"/>
        <v>570055.17424092325</v>
      </c>
      <c r="P22" s="339">
        <f t="shared" si="11"/>
        <v>582881.41566134407</v>
      </c>
      <c r="Q22" s="273"/>
    </row>
    <row r="23" spans="1:18" ht="15.75" thickBot="1">
      <c r="A23" s="293" t="s">
        <v>28</v>
      </c>
      <c r="B23" s="294"/>
      <c r="C23" s="495">
        <f>C14+C18+C19+C20-C21</f>
        <v>12375000</v>
      </c>
      <c r="D23" s="270"/>
      <c r="E23" s="336" t="s">
        <v>12</v>
      </c>
      <c r="F23" s="340">
        <v>75</v>
      </c>
      <c r="G23" s="328">
        <f>F23*C9</f>
        <v>43725</v>
      </c>
      <c r="H23" s="337">
        <f t="shared" ref="H23:P23" si="12">G23*H7+G23</f>
        <v>44708.8125</v>
      </c>
      <c r="I23" s="338">
        <f t="shared" si="12"/>
        <v>45714.760781249999</v>
      </c>
      <c r="J23" s="338">
        <f t="shared" si="12"/>
        <v>46743.342898828123</v>
      </c>
      <c r="K23" s="338">
        <f t="shared" si="12"/>
        <v>47795.068114051755</v>
      </c>
      <c r="L23" s="338">
        <f t="shared" si="12"/>
        <v>48870.457146617919</v>
      </c>
      <c r="M23" s="338">
        <f t="shared" si="12"/>
        <v>49970.04243241682</v>
      </c>
      <c r="N23" s="338">
        <f t="shared" si="12"/>
        <v>51094.368387146198</v>
      </c>
      <c r="O23" s="338">
        <f t="shared" si="12"/>
        <v>52243.991675856989</v>
      </c>
      <c r="P23" s="339">
        <f t="shared" si="12"/>
        <v>53419.481488563768</v>
      </c>
      <c r="Q23" s="273"/>
    </row>
    <row r="24" spans="1:18" ht="15.75" thickBot="1">
      <c r="A24" s="270"/>
      <c r="B24" s="270"/>
      <c r="C24" s="270"/>
      <c r="D24" s="270"/>
      <c r="E24" s="336" t="s">
        <v>10</v>
      </c>
      <c r="F24" s="340">
        <v>250</v>
      </c>
      <c r="G24" s="328">
        <f>F24*C9</f>
        <v>145750</v>
      </c>
      <c r="H24" s="337">
        <f t="shared" ref="H24:P24" si="13">G24*H7+G24</f>
        <v>149029.375</v>
      </c>
      <c r="I24" s="338">
        <f t="shared" si="13"/>
        <v>152382.53593750001</v>
      </c>
      <c r="J24" s="338">
        <f t="shared" si="13"/>
        <v>155811.14299609375</v>
      </c>
      <c r="K24" s="338">
        <f t="shared" si="13"/>
        <v>159316.89371350585</v>
      </c>
      <c r="L24" s="338">
        <f t="shared" si="13"/>
        <v>162901.52382205974</v>
      </c>
      <c r="M24" s="338">
        <f t="shared" si="13"/>
        <v>166566.80810805608</v>
      </c>
      <c r="N24" s="338">
        <f t="shared" si="13"/>
        <v>170314.56129048736</v>
      </c>
      <c r="O24" s="338">
        <f t="shared" si="13"/>
        <v>174146.63891952334</v>
      </c>
      <c r="P24" s="339">
        <f t="shared" si="13"/>
        <v>178064.9382952126</v>
      </c>
      <c r="Q24" s="273"/>
    </row>
    <row r="25" spans="1:18" ht="15.75" thickBot="1">
      <c r="A25" s="587" t="s">
        <v>224</v>
      </c>
      <c r="B25" s="588"/>
      <c r="C25" s="589"/>
      <c r="D25" s="270"/>
      <c r="E25" s="336" t="s">
        <v>13</v>
      </c>
      <c r="F25" s="343">
        <v>350</v>
      </c>
      <c r="G25" s="328">
        <f>F25*C9</f>
        <v>204050</v>
      </c>
      <c r="H25" s="337">
        <f t="shared" ref="H25:P25" si="14">G25*H7+G25</f>
        <v>208641.125</v>
      </c>
      <c r="I25" s="338">
        <f t="shared" si="14"/>
        <v>213335.55031250001</v>
      </c>
      <c r="J25" s="338">
        <f t="shared" si="14"/>
        <v>218135.60019453126</v>
      </c>
      <c r="K25" s="338">
        <f t="shared" si="14"/>
        <v>223043.65119890822</v>
      </c>
      <c r="L25" s="338">
        <f t="shared" si="14"/>
        <v>228062.13335088367</v>
      </c>
      <c r="M25" s="338">
        <f t="shared" si="14"/>
        <v>233193.53135127857</v>
      </c>
      <c r="N25" s="338">
        <f t="shared" si="14"/>
        <v>238440.38580668234</v>
      </c>
      <c r="O25" s="338">
        <f t="shared" si="14"/>
        <v>243805.29448733269</v>
      </c>
      <c r="P25" s="339">
        <f t="shared" si="14"/>
        <v>249290.91361329769</v>
      </c>
      <c r="Q25" s="273"/>
      <c r="R25" s="257"/>
    </row>
    <row r="26" spans="1:18" ht="15.75" thickBot="1">
      <c r="A26" s="65" t="s">
        <v>26</v>
      </c>
      <c r="B26" s="250"/>
      <c r="C26" s="251">
        <f>C14*C27</f>
        <v>44000000</v>
      </c>
      <c r="D26" s="270"/>
      <c r="E26" s="344" t="s">
        <v>14</v>
      </c>
      <c r="F26" s="345" t="s">
        <v>184</v>
      </c>
      <c r="G26" s="346">
        <f>(500*C9)*0.4</f>
        <v>116600</v>
      </c>
      <c r="H26" s="337">
        <f t="shared" ref="H26:P26" si="15">G26*H7+G26</f>
        <v>119223.5</v>
      </c>
      <c r="I26" s="338">
        <f t="shared" si="15"/>
        <v>121906.02875</v>
      </c>
      <c r="J26" s="338">
        <f t="shared" si="15"/>
        <v>124648.914396875</v>
      </c>
      <c r="K26" s="338">
        <f t="shared" si="15"/>
        <v>127453.51497080468</v>
      </c>
      <c r="L26" s="338">
        <f t="shared" si="15"/>
        <v>130321.21905764779</v>
      </c>
      <c r="M26" s="338">
        <f t="shared" si="15"/>
        <v>133253.44648644485</v>
      </c>
      <c r="N26" s="338">
        <f t="shared" si="15"/>
        <v>136251.64903238986</v>
      </c>
      <c r="O26" s="338">
        <f t="shared" si="15"/>
        <v>139317.31113561863</v>
      </c>
      <c r="P26" s="339">
        <f t="shared" si="15"/>
        <v>142451.95063617005</v>
      </c>
      <c r="Q26" s="273"/>
      <c r="R26" s="158"/>
    </row>
    <row r="27" spans="1:18" ht="15.75" thickBot="1">
      <c r="A27" s="73" t="s">
        <v>40</v>
      </c>
      <c r="B27" s="57"/>
      <c r="C27" s="493">
        <v>0.8</v>
      </c>
      <c r="D27" s="270"/>
      <c r="E27" s="347" t="s">
        <v>15</v>
      </c>
      <c r="F27" s="332"/>
      <c r="G27" s="307"/>
      <c r="H27" s="348"/>
      <c r="I27" s="349"/>
      <c r="J27" s="349"/>
      <c r="K27" s="349"/>
      <c r="L27" s="349"/>
      <c r="M27" s="349"/>
      <c r="N27" s="349"/>
      <c r="O27" s="349"/>
      <c r="P27" s="350"/>
      <c r="Q27" s="273"/>
      <c r="R27" s="158"/>
    </row>
    <row r="28" spans="1:18" ht="15.75" thickBot="1">
      <c r="A28" s="73" t="s">
        <v>225</v>
      </c>
      <c r="B28" s="57"/>
      <c r="C28" s="79">
        <v>3.2500000000000001E-2</v>
      </c>
      <c r="D28" s="270"/>
      <c r="E28" s="331" t="s">
        <v>171</v>
      </c>
      <c r="F28" s="332"/>
      <c r="G28" s="333">
        <v>45000</v>
      </c>
      <c r="H28" s="348"/>
      <c r="I28" s="349"/>
      <c r="J28" s="349"/>
      <c r="K28" s="349"/>
      <c r="L28" s="349"/>
      <c r="M28" s="349"/>
      <c r="N28" s="349"/>
      <c r="O28" s="349"/>
      <c r="P28" s="350"/>
      <c r="Q28" s="273"/>
    </row>
    <row r="29" spans="1:18" ht="15.75" thickBot="1">
      <c r="A29" s="73" t="s">
        <v>228</v>
      </c>
      <c r="B29" s="57"/>
      <c r="C29" s="492">
        <f>C26</f>
        <v>44000000</v>
      </c>
      <c r="D29" s="270"/>
      <c r="E29" s="331" t="s">
        <v>16</v>
      </c>
      <c r="F29" s="332"/>
      <c r="G29" s="333">
        <v>13000</v>
      </c>
      <c r="H29" s="348"/>
      <c r="I29" s="349"/>
      <c r="J29" s="349"/>
      <c r="K29" s="349"/>
      <c r="L29" s="349"/>
      <c r="M29" s="349"/>
      <c r="N29" s="349"/>
      <c r="O29" s="349"/>
      <c r="P29" s="350"/>
      <c r="Q29" s="273"/>
    </row>
    <row r="30" spans="1:18" ht="15.75" thickBot="1">
      <c r="A30" s="91"/>
      <c r="B30" s="92"/>
      <c r="C30" s="253"/>
      <c r="D30" s="270"/>
      <c r="E30" s="331" t="s">
        <v>17</v>
      </c>
      <c r="F30" s="332"/>
      <c r="G30" s="333">
        <v>25000</v>
      </c>
      <c r="H30" s="348"/>
      <c r="I30" s="349"/>
      <c r="J30" s="349"/>
      <c r="K30" s="349"/>
      <c r="L30" s="349"/>
      <c r="M30" s="349"/>
      <c r="N30" s="349"/>
      <c r="O30" s="349"/>
      <c r="P30" s="350"/>
      <c r="Q30" s="273"/>
    </row>
    <row r="31" spans="1:18" ht="15.75" thickBot="1">
      <c r="A31" s="587" t="s">
        <v>226</v>
      </c>
      <c r="B31" s="588"/>
      <c r="C31" s="589"/>
      <c r="D31" s="270"/>
      <c r="E31" s="331" t="s">
        <v>186</v>
      </c>
      <c r="F31" s="332"/>
      <c r="G31" s="333">
        <v>25000</v>
      </c>
      <c r="H31" s="348"/>
      <c r="I31" s="349"/>
      <c r="J31" s="349"/>
      <c r="K31" s="349"/>
      <c r="L31" s="349"/>
      <c r="M31" s="349"/>
      <c r="N31" s="349"/>
      <c r="O31" s="349"/>
      <c r="P31" s="350"/>
      <c r="Q31" s="273"/>
    </row>
    <row r="32" spans="1:18" ht="15.75" thickBot="1">
      <c r="A32" s="191" t="s">
        <v>251</v>
      </c>
      <c r="B32" s="510"/>
      <c r="C32" s="511">
        <f>R20</f>
        <v>6942627.0559999989</v>
      </c>
      <c r="D32" s="270"/>
      <c r="E32" s="336" t="s">
        <v>18</v>
      </c>
      <c r="F32" s="498"/>
      <c r="G32" s="328">
        <f>SUM(G28:G31)</f>
        <v>108000</v>
      </c>
      <c r="H32" s="337">
        <f t="shared" ref="H32:P32" si="16">G32*H7+G32</f>
        <v>110430</v>
      </c>
      <c r="I32" s="338">
        <f t="shared" si="16"/>
        <v>112914.675</v>
      </c>
      <c r="J32" s="338">
        <f t="shared" si="16"/>
        <v>115455.25518750001</v>
      </c>
      <c r="K32" s="338">
        <f t="shared" si="16"/>
        <v>118052.99842921876</v>
      </c>
      <c r="L32" s="338">
        <f t="shared" si="16"/>
        <v>120709.19089387618</v>
      </c>
      <c r="M32" s="338">
        <f t="shared" si="16"/>
        <v>123425.14768898839</v>
      </c>
      <c r="N32" s="338">
        <f t="shared" si="16"/>
        <v>126202.21351199063</v>
      </c>
      <c r="O32" s="338">
        <f t="shared" si="16"/>
        <v>129041.76331601042</v>
      </c>
      <c r="P32" s="339">
        <f t="shared" si="16"/>
        <v>131945.20299062066</v>
      </c>
      <c r="Q32" s="273"/>
    </row>
    <row r="33" spans="1:17" ht="15.75" thickBot="1">
      <c r="A33" s="191" t="s">
        <v>250</v>
      </c>
      <c r="B33" s="510"/>
      <c r="C33" s="511">
        <f>H38</f>
        <v>2815308.0428827018</v>
      </c>
      <c r="D33" s="270"/>
      <c r="E33" s="336" t="s">
        <v>136</v>
      </c>
      <c r="F33" s="525" t="s">
        <v>242</v>
      </c>
      <c r="G33" s="328">
        <f>1100*C9</f>
        <v>641300</v>
      </c>
      <c r="H33" s="337">
        <f t="shared" ref="H33:P33" si="17">G33*H7+G33</f>
        <v>655729.25</v>
      </c>
      <c r="I33" s="338">
        <f t="shared" si="17"/>
        <v>670483.15812499996</v>
      </c>
      <c r="J33" s="338">
        <f t="shared" si="17"/>
        <v>685569.02918281243</v>
      </c>
      <c r="K33" s="338">
        <f t="shared" si="17"/>
        <v>700994.33233942569</v>
      </c>
      <c r="L33" s="338">
        <f t="shared" si="17"/>
        <v>716766.70481706271</v>
      </c>
      <c r="M33" s="338">
        <f t="shared" si="17"/>
        <v>732893.95567544666</v>
      </c>
      <c r="N33" s="338">
        <f t="shared" si="17"/>
        <v>749384.06967814418</v>
      </c>
      <c r="O33" s="338">
        <f t="shared" si="17"/>
        <v>766245.21124590246</v>
      </c>
      <c r="P33" s="339">
        <f t="shared" si="17"/>
        <v>783485.72849893523</v>
      </c>
      <c r="Q33" s="273"/>
    </row>
    <row r="34" spans="1:17" ht="15.75" thickBot="1">
      <c r="A34" s="191" t="s">
        <v>252</v>
      </c>
      <c r="B34" s="510"/>
      <c r="C34" s="511">
        <f>C32-C33</f>
        <v>4127319.0131172971</v>
      </c>
      <c r="D34" s="270"/>
      <c r="E34" s="281" t="s">
        <v>181</v>
      </c>
      <c r="F34" s="343">
        <v>250</v>
      </c>
      <c r="G34" s="328">
        <f>F34*C9</f>
        <v>145750</v>
      </c>
      <c r="H34" s="337">
        <f t="shared" ref="H34:P34" si="18">G34*H7+G34</f>
        <v>149029.375</v>
      </c>
      <c r="I34" s="338">
        <f t="shared" si="18"/>
        <v>152382.53593750001</v>
      </c>
      <c r="J34" s="338">
        <f t="shared" si="18"/>
        <v>155811.14299609375</v>
      </c>
      <c r="K34" s="338">
        <f t="shared" si="18"/>
        <v>159316.89371350585</v>
      </c>
      <c r="L34" s="338">
        <f t="shared" si="18"/>
        <v>162901.52382205974</v>
      </c>
      <c r="M34" s="338">
        <f t="shared" si="18"/>
        <v>166566.80810805608</v>
      </c>
      <c r="N34" s="338">
        <f t="shared" si="18"/>
        <v>170314.56129048736</v>
      </c>
      <c r="O34" s="338">
        <f t="shared" si="18"/>
        <v>174146.63891952334</v>
      </c>
      <c r="P34" s="339">
        <f t="shared" si="18"/>
        <v>178064.9382952126</v>
      </c>
      <c r="Q34" s="273"/>
    </row>
    <row r="35" spans="1:17" ht="15.75" thickBot="1">
      <c r="A35" s="191" t="s">
        <v>227</v>
      </c>
      <c r="B35" s="521">
        <v>0.06</v>
      </c>
      <c r="C35" s="511">
        <f>C34/B35</f>
        <v>68788650.218621626</v>
      </c>
      <c r="D35" s="270"/>
      <c r="E35" s="281" t="s">
        <v>127</v>
      </c>
      <c r="F35" s="534">
        <v>5.0099999999999999E-2</v>
      </c>
      <c r="G35" s="95">
        <f>C14*0.85*0.2*F35</f>
        <v>468435</v>
      </c>
      <c r="H35" s="337">
        <f t="shared" ref="H35:P35" si="19">G35*H8+G35</f>
        <v>480145.875</v>
      </c>
      <c r="I35" s="338">
        <f t="shared" si="19"/>
        <v>492149.52187499998</v>
      </c>
      <c r="J35" s="338">
        <f t="shared" si="19"/>
        <v>504453.25992187497</v>
      </c>
      <c r="K35" s="338">
        <f t="shared" si="19"/>
        <v>517064.59141992184</v>
      </c>
      <c r="L35" s="338">
        <f t="shared" si="19"/>
        <v>529991.20620541985</v>
      </c>
      <c r="M35" s="338">
        <f t="shared" si="19"/>
        <v>543240.9863605554</v>
      </c>
      <c r="N35" s="338">
        <f t="shared" si="19"/>
        <v>556822.01101956924</v>
      </c>
      <c r="O35" s="338">
        <f t="shared" si="19"/>
        <v>570742.56129505846</v>
      </c>
      <c r="P35" s="339">
        <f t="shared" si="19"/>
        <v>585011.12532743497</v>
      </c>
      <c r="Q35" s="273"/>
    </row>
    <row r="36" spans="1:17" ht="15.75" thickBot="1">
      <c r="A36" s="73" t="s">
        <v>26</v>
      </c>
      <c r="B36" s="57"/>
      <c r="C36" s="509">
        <f>C35*C37</f>
        <v>55030920.174897306</v>
      </c>
      <c r="D36" s="270"/>
      <c r="E36" s="281" t="s">
        <v>19</v>
      </c>
      <c r="F36" s="565">
        <v>0.04</v>
      </c>
      <c r="G36" s="328">
        <f>G20*F36</f>
        <v>220439.07199999999</v>
      </c>
      <c r="H36" s="357">
        <f t="shared" ref="H36:P36" si="20">H20*$F36</f>
        <v>264784.92224000004</v>
      </c>
      <c r="I36" s="358">
        <f t="shared" si="20"/>
        <v>286636.76664600003</v>
      </c>
      <c r="J36" s="358">
        <f t="shared" si="20"/>
        <v>293926.86172876501</v>
      </c>
      <c r="K36" s="358">
        <f t="shared" si="20"/>
        <v>301417.43442630605</v>
      </c>
      <c r="L36" s="358">
        <f t="shared" si="20"/>
        <v>309113.99787302944</v>
      </c>
      <c r="M36" s="358">
        <f t="shared" si="20"/>
        <v>317022.21681453782</v>
      </c>
      <c r="N36" s="358">
        <f t="shared" si="20"/>
        <v>325147.9117769376</v>
      </c>
      <c r="O36" s="358">
        <f t="shared" si="20"/>
        <v>333497.06335080334</v>
      </c>
      <c r="P36" s="359">
        <f t="shared" si="20"/>
        <v>342075.81659295043</v>
      </c>
      <c r="Q36" s="273"/>
    </row>
    <row r="37" spans="1:17" ht="15.75" thickBot="1">
      <c r="A37" s="73" t="s">
        <v>40</v>
      </c>
      <c r="B37" s="57"/>
      <c r="C37" s="493">
        <v>0.8</v>
      </c>
      <c r="D37" s="270"/>
      <c r="E37" s="296" t="s">
        <v>20</v>
      </c>
      <c r="F37" s="332">
        <v>250</v>
      </c>
      <c r="G37" s="358">
        <f>F37*C9</f>
        <v>145750</v>
      </c>
      <c r="H37" s="337">
        <f>G37</f>
        <v>145750</v>
      </c>
      <c r="I37" s="338">
        <f t="shared" ref="I37:P37" si="21">H37</f>
        <v>145750</v>
      </c>
      <c r="J37" s="338">
        <f t="shared" si="21"/>
        <v>145750</v>
      </c>
      <c r="K37" s="338">
        <f t="shared" si="21"/>
        <v>145750</v>
      </c>
      <c r="L37" s="338">
        <f t="shared" si="21"/>
        <v>145750</v>
      </c>
      <c r="M37" s="338">
        <f t="shared" si="21"/>
        <v>145750</v>
      </c>
      <c r="N37" s="338">
        <f t="shared" si="21"/>
        <v>145750</v>
      </c>
      <c r="O37" s="338">
        <f t="shared" si="21"/>
        <v>145750</v>
      </c>
      <c r="P37" s="339">
        <f t="shared" si="21"/>
        <v>145750</v>
      </c>
      <c r="Q37" s="273"/>
    </row>
    <row r="38" spans="1:17" ht="15.75" thickBot="1">
      <c r="A38" s="73" t="s">
        <v>41</v>
      </c>
      <c r="B38" s="57"/>
      <c r="C38" s="78" t="s">
        <v>246</v>
      </c>
      <c r="D38" s="270"/>
      <c r="E38" s="291" t="s">
        <v>21</v>
      </c>
      <c r="F38" s="564">
        <f>G38/C9</f>
        <v>4660.2060151944897</v>
      </c>
      <c r="G38" s="325">
        <f t="shared" ref="G38:P38" si="22">G37+G36+G35+G34+G33+G32+G26+G25+G24+G23+G22</f>
        <v>2716900.1068583876</v>
      </c>
      <c r="H38" s="326">
        <f t="shared" si="22"/>
        <v>2815308.0428827018</v>
      </c>
      <c r="I38" s="325">
        <f t="shared" si="22"/>
        <v>2892467.6471906626</v>
      </c>
      <c r="J38" s="325">
        <f t="shared" si="22"/>
        <v>2956339.9358903696</v>
      </c>
      <c r="K38" s="325">
        <f t="shared" si="22"/>
        <v>3021716.5609063515</v>
      </c>
      <c r="L38" s="325">
        <f t="shared" si="22"/>
        <v>3088633.1411774261</v>
      </c>
      <c r="M38" s="325">
        <f t="shared" si="22"/>
        <v>3157126.143858796</v>
      </c>
      <c r="N38" s="325">
        <f t="shared" si="22"/>
        <v>3227232.9046455938</v>
      </c>
      <c r="O38" s="325">
        <f t="shared" si="22"/>
        <v>3298991.6485865535</v>
      </c>
      <c r="P38" s="327">
        <f t="shared" si="22"/>
        <v>3372441.5113997413</v>
      </c>
      <c r="Q38" s="273"/>
    </row>
    <row r="39" spans="1:17" ht="15.75" thickBot="1">
      <c r="A39" s="73" t="s">
        <v>42</v>
      </c>
      <c r="B39" s="163"/>
      <c r="C39" s="252">
        <v>4.2500000000000003E-2</v>
      </c>
      <c r="D39" s="270"/>
      <c r="E39" s="363"/>
      <c r="F39" s="364"/>
      <c r="G39" s="365"/>
      <c r="H39" s="270"/>
      <c r="I39" s="270"/>
      <c r="J39" s="270"/>
      <c r="K39" s="270"/>
      <c r="L39" s="270"/>
      <c r="M39" s="270"/>
      <c r="N39" s="270"/>
      <c r="O39" s="270"/>
      <c r="P39" s="270"/>
      <c r="Q39" s="273"/>
    </row>
    <row r="40" spans="1:17" ht="15.75" thickBot="1">
      <c r="A40" s="192" t="s">
        <v>247</v>
      </c>
      <c r="B40" s="530"/>
      <c r="C40" s="531" t="s">
        <v>249</v>
      </c>
      <c r="D40" s="270"/>
      <c r="E40" s="291" t="s">
        <v>22</v>
      </c>
      <c r="F40" s="369"/>
      <c r="G40" s="325">
        <f t="shared" ref="G40:P40" si="23">G20-G38</f>
        <v>2794076.6931416122</v>
      </c>
      <c r="H40" s="326">
        <f t="shared" si="23"/>
        <v>3804315.0131172989</v>
      </c>
      <c r="I40" s="325">
        <f t="shared" si="23"/>
        <v>4273451.5189593378</v>
      </c>
      <c r="J40" s="325">
        <f t="shared" si="23"/>
        <v>4391831.6073287558</v>
      </c>
      <c r="K40" s="325">
        <f t="shared" si="23"/>
        <v>4513719.2997512994</v>
      </c>
      <c r="L40" s="325">
        <f t="shared" si="23"/>
        <v>4639216.8056483101</v>
      </c>
      <c r="M40" s="325">
        <f t="shared" si="23"/>
        <v>4768429.2765046488</v>
      </c>
      <c r="N40" s="325">
        <f t="shared" si="23"/>
        <v>4901464.8897778466</v>
      </c>
      <c r="O40" s="325">
        <f t="shared" si="23"/>
        <v>5038434.9351835297</v>
      </c>
      <c r="P40" s="327">
        <f t="shared" si="23"/>
        <v>5179453.9034240199</v>
      </c>
      <c r="Q40" s="273"/>
    </row>
    <row r="41" spans="1:17" ht="15.75" thickBot="1">
      <c r="A41" s="155" t="s">
        <v>43</v>
      </c>
      <c r="B41" s="156"/>
      <c r="C41" s="157">
        <v>30</v>
      </c>
      <c r="D41" s="270"/>
      <c r="E41" s="371"/>
      <c r="F41" s="372"/>
      <c r="G41" s="302"/>
      <c r="H41" s="358"/>
      <c r="I41" s="373"/>
      <c r="J41" s="307"/>
      <c r="K41" s="358"/>
      <c r="L41" s="358"/>
      <c r="M41" s="358"/>
      <c r="N41" s="358"/>
      <c r="O41" s="358"/>
      <c r="P41" s="358"/>
      <c r="Q41" s="273"/>
    </row>
    <row r="42" spans="1:17" ht="15.75" thickBot="1">
      <c r="A42" s="270"/>
      <c r="B42" s="270"/>
      <c r="C42" s="270"/>
      <c r="D42" s="270"/>
      <c r="E42" s="278" t="s">
        <v>30</v>
      </c>
      <c r="F42" s="376"/>
      <c r="G42" s="512">
        <f>C26*C28</f>
        <v>1430000</v>
      </c>
      <c r="H42" s="513">
        <f>G42</f>
        <v>1430000</v>
      </c>
      <c r="I42" s="538">
        <f>C36*C39</f>
        <v>2338814.1074331356</v>
      </c>
      <c r="J42" s="538">
        <f>I42</f>
        <v>2338814.1074331356</v>
      </c>
      <c r="K42" s="538">
        <f>J42</f>
        <v>2338814.1074331356</v>
      </c>
      <c r="L42" s="377">
        <f>'R -Loan (2)'!I26</f>
        <v>3248628.5852211285</v>
      </c>
      <c r="M42" s="377">
        <f>L42</f>
        <v>3248628.5852211285</v>
      </c>
      <c r="N42" s="377">
        <f>M42</f>
        <v>3248628.5852211285</v>
      </c>
      <c r="O42" s="377">
        <f>N42</f>
        <v>3248628.5852211285</v>
      </c>
      <c r="P42" s="378">
        <f>O42</f>
        <v>3248628.5852211285</v>
      </c>
      <c r="Q42" s="273"/>
    </row>
    <row r="43" spans="1:17" ht="15.75" thickBot="1">
      <c r="A43" s="606" t="s">
        <v>51</v>
      </c>
      <c r="B43" s="607"/>
      <c r="C43" s="608"/>
      <c r="D43" s="270"/>
      <c r="E43" s="334" t="s">
        <v>23</v>
      </c>
      <c r="F43" s="380"/>
      <c r="G43" s="381">
        <f t="shared" ref="G43:P43" si="24">G40-G42</f>
        <v>1364076.6931416122</v>
      </c>
      <c r="H43" s="382">
        <f t="shared" si="24"/>
        <v>2374315.0131172989</v>
      </c>
      <c r="I43" s="382">
        <f t="shared" si="24"/>
        <v>1934637.4115262022</v>
      </c>
      <c r="J43" s="382">
        <f t="shared" si="24"/>
        <v>2053017.4998956202</v>
      </c>
      <c r="K43" s="382">
        <f t="shared" si="24"/>
        <v>2174905.1923181638</v>
      </c>
      <c r="L43" s="382">
        <f t="shared" si="24"/>
        <v>1390588.2204271816</v>
      </c>
      <c r="M43" s="382">
        <f t="shared" si="24"/>
        <v>1519800.6912835203</v>
      </c>
      <c r="N43" s="382">
        <f t="shared" si="24"/>
        <v>1652836.3045567181</v>
      </c>
      <c r="O43" s="382">
        <f t="shared" si="24"/>
        <v>1789806.3499624012</v>
      </c>
      <c r="P43" s="383">
        <f t="shared" si="24"/>
        <v>1930825.3182028914</v>
      </c>
      <c r="Q43" s="273"/>
    </row>
    <row r="44" spans="1:17" ht="15.75" thickBot="1">
      <c r="A44" s="609" t="s">
        <v>52</v>
      </c>
      <c r="B44" s="610"/>
      <c r="C44" s="611"/>
      <c r="D44" s="270"/>
      <c r="E44" s="293" t="s">
        <v>24</v>
      </c>
      <c r="F44" s="384"/>
      <c r="G44" s="385">
        <f t="shared" ref="G44:P44" si="25">G43/$C23</f>
        <v>0.11022841964780705</v>
      </c>
      <c r="H44" s="385">
        <f t="shared" si="25"/>
        <v>0.19186383944382213</v>
      </c>
      <c r="I44" s="385">
        <f t="shared" si="25"/>
        <v>0.15633433628494564</v>
      </c>
      <c r="J44" s="385">
        <f t="shared" si="25"/>
        <v>0.16590040403196932</v>
      </c>
      <c r="K44" s="385">
        <f t="shared" si="25"/>
        <v>0.17574991453076072</v>
      </c>
      <c r="L44" s="385">
        <f t="shared" si="25"/>
        <v>0.11237076528704497</v>
      </c>
      <c r="M44" s="385">
        <f t="shared" si="25"/>
        <v>0.12281217707341578</v>
      </c>
      <c r="N44" s="385">
        <f t="shared" si="25"/>
        <v>0.13356252966114893</v>
      </c>
      <c r="O44" s="385">
        <f t="shared" si="25"/>
        <v>0.14463081615857787</v>
      </c>
      <c r="P44" s="385">
        <f t="shared" si="25"/>
        <v>0.15602628833962759</v>
      </c>
      <c r="Q44" s="273"/>
    </row>
    <row r="45" spans="1:17" ht="15.75" thickBot="1">
      <c r="A45" s="352" t="s">
        <v>53</v>
      </c>
      <c r="B45" s="353">
        <f>C45/C47</f>
        <v>0.78048780487804881</v>
      </c>
      <c r="C45" s="314">
        <f>C29</f>
        <v>44000000</v>
      </c>
      <c r="D45" s="270"/>
      <c r="E45" s="297"/>
      <c r="F45" s="386"/>
      <c r="G45" s="387"/>
      <c r="H45" s="387"/>
      <c r="I45" s="387"/>
      <c r="J45" s="387"/>
      <c r="K45" s="387"/>
      <c r="L45" s="388"/>
      <c r="M45" s="388"/>
      <c r="N45" s="288"/>
      <c r="O45" s="270"/>
      <c r="P45" s="270"/>
      <c r="Q45" s="273"/>
    </row>
    <row r="46" spans="1:17">
      <c r="A46" s="354" t="s">
        <v>27</v>
      </c>
      <c r="B46" s="355">
        <f>C46/C47</f>
        <v>0.21951219512195122</v>
      </c>
      <c r="C46" s="356">
        <f>C23</f>
        <v>12375000</v>
      </c>
      <c r="D46" s="270"/>
      <c r="E46" s="390" t="s">
        <v>178</v>
      </c>
      <c r="F46" s="391"/>
      <c r="G46" s="539" t="s">
        <v>29</v>
      </c>
      <c r="H46" s="539" t="s">
        <v>0</v>
      </c>
      <c r="I46" s="539" t="s">
        <v>1</v>
      </c>
      <c r="J46" s="539" t="s">
        <v>2</v>
      </c>
      <c r="K46" s="539" t="s">
        <v>3</v>
      </c>
      <c r="L46" s="539" t="s">
        <v>4</v>
      </c>
      <c r="M46" s="539" t="s">
        <v>5</v>
      </c>
      <c r="N46" s="539" t="s">
        <v>101</v>
      </c>
      <c r="O46" s="539" t="s">
        <v>102</v>
      </c>
      <c r="P46" s="392" t="s">
        <v>103</v>
      </c>
      <c r="Q46" s="273"/>
    </row>
    <row r="47" spans="1:17" ht="15.75" thickBot="1">
      <c r="A47" s="360" t="s">
        <v>54</v>
      </c>
      <c r="B47" s="361">
        <v>1</v>
      </c>
      <c r="C47" s="362">
        <f>C46+C45</f>
        <v>56375000</v>
      </c>
      <c r="D47" s="270"/>
      <c r="E47" s="395"/>
      <c r="F47" s="364"/>
      <c r="G47" s="396">
        <f>C29</f>
        <v>44000000</v>
      </c>
      <c r="H47" s="397">
        <f>G47</f>
        <v>44000000</v>
      </c>
      <c r="I47" s="398">
        <f>C36</f>
        <v>55030920.174897306</v>
      </c>
      <c r="J47" s="398">
        <f>I47</f>
        <v>55030920.174897306</v>
      </c>
      <c r="K47" s="398">
        <f>J47</f>
        <v>55030920.174897306</v>
      </c>
      <c r="L47" s="398">
        <f>'R -Loan (2)'!F33</f>
        <v>54103172.369420677</v>
      </c>
      <c r="M47" s="398">
        <f>'R -Loan (2)'!F45</f>
        <v>53135218.092743434</v>
      </c>
      <c r="N47" s="321">
        <f>'R -Loan (2)'!F57</f>
        <v>52125314.888222866</v>
      </c>
      <c r="O47" s="321">
        <f>'R -Loan (2)'!F69</f>
        <v>51071644.785124637</v>
      </c>
      <c r="P47" s="323">
        <f>'R -Loan (2)'!F81</f>
        <v>49972311.026014395</v>
      </c>
      <c r="Q47" s="273"/>
    </row>
    <row r="48" spans="1:17" ht="15.75" thickBot="1">
      <c r="A48" s="603" t="s">
        <v>55</v>
      </c>
      <c r="B48" s="604"/>
      <c r="C48" s="605"/>
      <c r="D48" s="270"/>
      <c r="E48" s="402"/>
      <c r="F48" s="271"/>
      <c r="G48" s="349"/>
      <c r="H48" s="349"/>
      <c r="I48" s="349"/>
      <c r="J48" s="307"/>
      <c r="K48" s="307"/>
      <c r="L48" s="307"/>
      <c r="M48" s="307"/>
      <c r="N48" s="288"/>
      <c r="O48" s="270"/>
      <c r="P48" s="270"/>
      <c r="Q48" s="273"/>
    </row>
    <row r="49" spans="1:18" ht="15.75" thickBot="1">
      <c r="A49" s="352" t="s">
        <v>25</v>
      </c>
      <c r="B49" s="353">
        <f>C49/C47</f>
        <v>0.97560975609756095</v>
      </c>
      <c r="C49" s="284">
        <f>C14</f>
        <v>55000000</v>
      </c>
      <c r="D49" s="270"/>
      <c r="E49" s="405" t="s">
        <v>187</v>
      </c>
      <c r="F49" s="406">
        <f>-C23</f>
        <v>-12375000</v>
      </c>
      <c r="G49" s="407">
        <f>G$43</f>
        <v>1364076.6931416122</v>
      </c>
      <c r="H49" s="407">
        <f>H$43</f>
        <v>2374315.0131172989</v>
      </c>
      <c r="I49" s="407">
        <f t="shared" ref="H49:O50" si="26">I$43</f>
        <v>1934637.4115262022</v>
      </c>
      <c r="J49" s="407">
        <f t="shared" si="26"/>
        <v>2053017.4998956202</v>
      </c>
      <c r="K49" s="407">
        <f t="shared" si="26"/>
        <v>2174905.1923181638</v>
      </c>
      <c r="L49" s="407">
        <f>L$43</f>
        <v>1390588.2204271816</v>
      </c>
      <c r="M49" s="407">
        <f>M$43</f>
        <v>1519800.6912835203</v>
      </c>
      <c r="N49" s="407">
        <f>N$43</f>
        <v>1652836.3045567181</v>
      </c>
      <c r="O49" s="407">
        <f t="shared" si="26"/>
        <v>1789806.3499624012</v>
      </c>
      <c r="P49" s="407">
        <f>P$43+B62</f>
        <v>36556261.381447479</v>
      </c>
      <c r="Q49" s="408">
        <f>IRR(F49:P49)</f>
        <v>0.21333589309771228</v>
      </c>
    </row>
    <row r="50" spans="1:18" ht="15.75" thickBot="1">
      <c r="A50" s="366" t="s">
        <v>105</v>
      </c>
      <c r="B50" s="367">
        <f>C50/C47</f>
        <v>2.4390243902439025E-2</v>
      </c>
      <c r="C50" s="368">
        <f>C18+C19</f>
        <v>1375000</v>
      </c>
      <c r="D50" s="270"/>
      <c r="E50" s="405" t="s">
        <v>104</v>
      </c>
      <c r="F50" s="406">
        <f>F49</f>
        <v>-12375000</v>
      </c>
      <c r="G50" s="407">
        <f>G$43</f>
        <v>1364076.6931416122</v>
      </c>
      <c r="H50" s="407">
        <f t="shared" si="26"/>
        <v>2374315.0131172989</v>
      </c>
      <c r="I50" s="407">
        <f t="shared" si="26"/>
        <v>1934637.4115262022</v>
      </c>
      <c r="J50" s="407">
        <f t="shared" si="26"/>
        <v>2053017.4998956202</v>
      </c>
      <c r="K50" s="407">
        <f t="shared" si="26"/>
        <v>2174905.1923181638</v>
      </c>
      <c r="L50" s="407">
        <f t="shared" si="26"/>
        <v>1390588.2204271816</v>
      </c>
      <c r="M50" s="407">
        <f t="shared" si="26"/>
        <v>1519800.6912835203</v>
      </c>
      <c r="N50" s="407">
        <f t="shared" si="26"/>
        <v>1652836.3045567181</v>
      </c>
      <c r="O50" s="407">
        <f t="shared" si="26"/>
        <v>1789806.3499624012</v>
      </c>
      <c r="P50" s="407">
        <f>P$43+C62</f>
        <v>24470868.940124765</v>
      </c>
      <c r="Q50" s="411">
        <f>IRR(F50:P50)</f>
        <v>0.18283895629688329</v>
      </c>
    </row>
    <row r="51" spans="1:18" ht="15.75" thickBot="1">
      <c r="A51" s="352" t="s">
        <v>48</v>
      </c>
      <c r="B51" s="370">
        <f>C51/C47</f>
        <v>0</v>
      </c>
      <c r="C51" s="284">
        <f>C20</f>
        <v>0</v>
      </c>
      <c r="D51" s="270"/>
      <c r="E51" s="270"/>
      <c r="F51" s="271"/>
      <c r="G51" s="270"/>
      <c r="H51" s="270"/>
      <c r="I51" s="270"/>
      <c r="J51" s="270"/>
      <c r="K51" s="270"/>
      <c r="L51" s="270"/>
      <c r="M51" s="270"/>
      <c r="N51" s="288"/>
      <c r="O51" s="270"/>
      <c r="P51" s="270"/>
      <c r="Q51" s="273"/>
    </row>
    <row r="52" spans="1:18" ht="15.75" thickBot="1">
      <c r="A52" s="334" t="s">
        <v>56</v>
      </c>
      <c r="B52" s="374">
        <f>SUM(B49:B51)</f>
        <v>1</v>
      </c>
      <c r="C52" s="375">
        <f>SUM(C49:C51)</f>
        <v>56375000</v>
      </c>
      <c r="D52" s="270"/>
      <c r="E52" s="273"/>
      <c r="F52" s="415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</row>
    <row r="53" spans="1:18" ht="15.75" thickBot="1">
      <c r="A53" s="273"/>
      <c r="B53" s="273"/>
      <c r="C53" s="379"/>
      <c r="D53" s="270"/>
      <c r="F53" s="2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259"/>
    </row>
    <row r="54" spans="1:18" ht="15.75" thickBot="1">
      <c r="A54" s="612" t="s">
        <v>170</v>
      </c>
      <c r="B54" s="610"/>
      <c r="C54" s="613"/>
      <c r="D54" s="270"/>
      <c r="F54" s="260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1:18" ht="15.75" thickBot="1">
      <c r="A55" s="341" t="s">
        <v>32</v>
      </c>
      <c r="B55" s="282"/>
      <c r="C55" s="342">
        <v>10</v>
      </c>
      <c r="D55" s="270"/>
      <c r="F55" s="256"/>
      <c r="G55" s="158"/>
      <c r="H55" s="158"/>
      <c r="I55" s="158"/>
      <c r="J55" s="158"/>
      <c r="K55" s="158"/>
      <c r="L55" s="158"/>
      <c r="M55" s="158"/>
      <c r="N55" s="158"/>
      <c r="O55" s="158"/>
      <c r="P55" s="158"/>
    </row>
    <row r="56" spans="1:18" ht="15.75" thickBot="1">
      <c r="A56" s="341" t="s">
        <v>33</v>
      </c>
      <c r="B56" s="282"/>
      <c r="C56" s="389">
        <v>0.02</v>
      </c>
      <c r="D56" s="46"/>
      <c r="F56" s="256"/>
      <c r="G56" s="158"/>
      <c r="N56" s="262"/>
    </row>
    <row r="57" spans="1:18" ht="15.75" thickBot="1">
      <c r="A57" s="393" t="s">
        <v>34</v>
      </c>
      <c r="B57" s="335"/>
      <c r="C57" s="394">
        <f>P47</f>
        <v>49972311.026014395</v>
      </c>
      <c r="D57" s="46"/>
      <c r="F57" s="256"/>
      <c r="N57" s="262"/>
      <c r="R57" s="261"/>
    </row>
    <row r="58" spans="1:18" ht="15.75" thickBot="1">
      <c r="A58" s="399" t="s">
        <v>35</v>
      </c>
      <c r="B58" s="400">
        <v>0.06</v>
      </c>
      <c r="C58" s="401">
        <v>7.0000000000000007E-2</v>
      </c>
      <c r="D58" s="46"/>
      <c r="F58" s="256"/>
      <c r="N58" s="262"/>
      <c r="R58" s="255"/>
    </row>
    <row r="59" spans="1:18" ht="15.75" thickBot="1">
      <c r="A59" s="341" t="s">
        <v>36</v>
      </c>
      <c r="B59" s="403">
        <f>P40/B58</f>
        <v>86324231.723733664</v>
      </c>
      <c r="C59" s="404">
        <f>P40/C58</f>
        <v>73992198.620343134</v>
      </c>
      <c r="D59" s="46"/>
      <c r="F59" s="256"/>
      <c r="N59" s="262"/>
    </row>
    <row r="60" spans="1:18" ht="15.75" thickBot="1">
      <c r="A60" s="341" t="s">
        <v>37</v>
      </c>
      <c r="B60" s="409">
        <f>-B59*C56</f>
        <v>-1726484.6344746733</v>
      </c>
      <c r="C60" s="410">
        <f>-C59*C56</f>
        <v>-1479843.9724068628</v>
      </c>
      <c r="D60" s="46"/>
    </row>
    <row r="61" spans="1:18" ht="15.75" thickBot="1">
      <c r="A61" s="341" t="s">
        <v>38</v>
      </c>
      <c r="B61" s="409">
        <f>-C57</f>
        <v>-49972311.026014395</v>
      </c>
      <c r="C61" s="412">
        <f>B61</f>
        <v>-49972311.026014395</v>
      </c>
      <c r="D61" s="46"/>
    </row>
    <row r="62" spans="1:18" ht="15.75" thickBot="1">
      <c r="A62" s="351" t="s">
        <v>39</v>
      </c>
      <c r="B62" s="413">
        <f>SUM(B59:B61)</f>
        <v>34625436.063244589</v>
      </c>
      <c r="C62" s="414">
        <f>SUM(C59:C61)</f>
        <v>22540043.621921875</v>
      </c>
      <c r="D62" s="46"/>
    </row>
    <row r="65" spans="3:3">
      <c r="C65" s="158"/>
    </row>
  </sheetData>
  <mergeCells count="11">
    <mergeCell ref="A44:C44"/>
    <mergeCell ref="A48:C48"/>
    <mergeCell ref="A54:C54"/>
    <mergeCell ref="A2:C2"/>
    <mergeCell ref="A5:C5"/>
    <mergeCell ref="E11:G11"/>
    <mergeCell ref="A13:C13"/>
    <mergeCell ref="E21:G21"/>
    <mergeCell ref="A43:C43"/>
    <mergeCell ref="A25:C25"/>
    <mergeCell ref="A31:C31"/>
  </mergeCells>
  <pageMargins left="0.7" right="0.7" top="0.75" bottom="0.75" header="0.3" footer="0.3"/>
  <ignoredErrors>
    <ignoredError sqref="L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1E7D-ECAC-4FB7-A109-EB7BD3EB3B3D}">
  <sheetPr>
    <tabColor rgb="FF00B0F0"/>
  </sheetPr>
  <dimension ref="A2:M29"/>
  <sheetViews>
    <sheetView workbookViewId="0">
      <selection activeCell="B20" sqref="B20"/>
    </sheetView>
  </sheetViews>
  <sheetFormatPr defaultRowHeight="15"/>
  <cols>
    <col min="1" max="1" width="37.28515625" bestFit="1" customWidth="1"/>
    <col min="2" max="2" width="23.7109375" bestFit="1" customWidth="1"/>
    <col min="3" max="4" width="11.85546875" bestFit="1" customWidth="1"/>
    <col min="5" max="5" width="17" bestFit="1" customWidth="1"/>
    <col min="6" max="6" width="13.28515625" bestFit="1" customWidth="1"/>
    <col min="8" max="9" width="18.42578125" bestFit="1" customWidth="1"/>
    <col min="10" max="10" width="15.42578125" bestFit="1" customWidth="1"/>
    <col min="11" max="11" width="22.28515625" bestFit="1" customWidth="1"/>
    <col min="12" max="12" width="15.140625" bestFit="1" customWidth="1"/>
    <col min="13" max="13" width="21.5703125" bestFit="1" customWidth="1"/>
    <col min="14" max="14" width="19.5703125" bestFit="1" customWidth="1"/>
  </cols>
  <sheetData>
    <row r="2" spans="1:13">
      <c r="A2" s="41" t="s">
        <v>120</v>
      </c>
      <c r="B2" s="42">
        <f>'B - Cash Flow Projections'!F13</f>
        <v>210</v>
      </c>
    </row>
    <row r="3" spans="1:13">
      <c r="A3" s="41" t="s">
        <v>121</v>
      </c>
      <c r="B3" s="45">
        <v>16</v>
      </c>
    </row>
    <row r="5" spans="1:13">
      <c r="B5" s="36" t="s">
        <v>106</v>
      </c>
      <c r="C5" s="36" t="s">
        <v>107</v>
      </c>
      <c r="D5" s="36" t="s">
        <v>108</v>
      </c>
      <c r="E5" s="36" t="s">
        <v>109</v>
      </c>
      <c r="F5" s="36" t="s">
        <v>110</v>
      </c>
      <c r="G5" s="36" t="s">
        <v>111</v>
      </c>
      <c r="H5" s="36" t="s">
        <v>112</v>
      </c>
      <c r="I5" s="36" t="s">
        <v>113</v>
      </c>
      <c r="J5" s="36" t="s">
        <v>114</v>
      </c>
      <c r="K5" s="36" t="s">
        <v>115</v>
      </c>
      <c r="L5" s="36" t="s">
        <v>116</v>
      </c>
      <c r="M5" s="36" t="s">
        <v>117</v>
      </c>
    </row>
    <row r="6" spans="1:13">
      <c r="A6" s="36" t="s">
        <v>126</v>
      </c>
      <c r="B6" s="44">
        <f>B3</f>
        <v>16</v>
      </c>
      <c r="C6" s="44">
        <f>B3+B6</f>
        <v>32</v>
      </c>
      <c r="D6" s="44">
        <f t="shared" ref="D6:M6" si="0">C6+$B3</f>
        <v>48</v>
      </c>
      <c r="E6" s="44">
        <f t="shared" si="0"/>
        <v>64</v>
      </c>
      <c r="F6" s="44">
        <f t="shared" si="0"/>
        <v>80</v>
      </c>
      <c r="G6" s="44">
        <f t="shared" si="0"/>
        <v>96</v>
      </c>
      <c r="H6" s="44">
        <f t="shared" si="0"/>
        <v>112</v>
      </c>
      <c r="I6" s="44">
        <f t="shared" si="0"/>
        <v>128</v>
      </c>
      <c r="J6" s="44">
        <f t="shared" si="0"/>
        <v>144</v>
      </c>
      <c r="K6" s="44">
        <f t="shared" si="0"/>
        <v>160</v>
      </c>
      <c r="L6" s="44">
        <f t="shared" si="0"/>
        <v>176</v>
      </c>
      <c r="M6" s="44">
        <f t="shared" si="0"/>
        <v>192</v>
      </c>
    </row>
    <row r="7" spans="1:13">
      <c r="A7" s="36" t="s">
        <v>118</v>
      </c>
      <c r="B7" s="37">
        <f t="shared" ref="B7:M7" si="1">$B2*B6</f>
        <v>3360</v>
      </c>
      <c r="C7" s="37">
        <f t="shared" si="1"/>
        <v>6720</v>
      </c>
      <c r="D7" s="37">
        <f t="shared" si="1"/>
        <v>10080</v>
      </c>
      <c r="E7" s="37">
        <f t="shared" si="1"/>
        <v>13440</v>
      </c>
      <c r="F7" s="37">
        <f t="shared" si="1"/>
        <v>16800</v>
      </c>
      <c r="G7" s="37">
        <f t="shared" si="1"/>
        <v>20160</v>
      </c>
      <c r="H7" s="37">
        <f t="shared" si="1"/>
        <v>23520</v>
      </c>
      <c r="I7" s="37">
        <f t="shared" si="1"/>
        <v>26880</v>
      </c>
      <c r="J7" s="37">
        <f t="shared" si="1"/>
        <v>30240</v>
      </c>
      <c r="K7" s="37">
        <f t="shared" si="1"/>
        <v>33600</v>
      </c>
      <c r="L7" s="37">
        <f t="shared" si="1"/>
        <v>36960</v>
      </c>
      <c r="M7" s="37">
        <f t="shared" si="1"/>
        <v>40320</v>
      </c>
    </row>
    <row r="8" spans="1:13">
      <c r="L8" s="41" t="s">
        <v>119</v>
      </c>
      <c r="M8" s="43">
        <f>SUM(B7:M7)</f>
        <v>262080</v>
      </c>
    </row>
    <row r="9" spans="1:13">
      <c r="B9" s="36" t="s">
        <v>205</v>
      </c>
      <c r="C9" s="36" t="s">
        <v>206</v>
      </c>
      <c r="D9" s="36" t="s">
        <v>207</v>
      </c>
      <c r="E9" s="36" t="s">
        <v>208</v>
      </c>
      <c r="F9" s="36" t="s">
        <v>209</v>
      </c>
      <c r="G9" s="36" t="s">
        <v>210</v>
      </c>
      <c r="H9" s="36" t="s">
        <v>211</v>
      </c>
      <c r="I9" s="36" t="s">
        <v>212</v>
      </c>
      <c r="J9" s="36" t="s">
        <v>213</v>
      </c>
      <c r="K9" s="36" t="s">
        <v>214</v>
      </c>
      <c r="L9" s="36" t="s">
        <v>215</v>
      </c>
      <c r="M9" s="36" t="s">
        <v>216</v>
      </c>
    </row>
    <row r="10" spans="1:13">
      <c r="A10" s="36" t="s">
        <v>126</v>
      </c>
      <c r="B10" s="44">
        <f>M6+B3</f>
        <v>208</v>
      </c>
      <c r="C10" s="44">
        <f>B10+$B3</f>
        <v>224</v>
      </c>
      <c r="D10" s="44">
        <f t="shared" ref="D10:J10" si="2">C10+$B3</f>
        <v>240</v>
      </c>
      <c r="E10" s="44">
        <f t="shared" si="2"/>
        <v>256</v>
      </c>
      <c r="F10" s="44">
        <f t="shared" si="2"/>
        <v>272</v>
      </c>
      <c r="G10" s="44">
        <f t="shared" si="2"/>
        <v>288</v>
      </c>
      <c r="H10" s="44">
        <f t="shared" si="2"/>
        <v>304</v>
      </c>
      <c r="I10" s="44">
        <f t="shared" si="2"/>
        <v>320</v>
      </c>
      <c r="J10" s="44">
        <f t="shared" si="2"/>
        <v>336</v>
      </c>
      <c r="K10" s="44">
        <f>J10+$B3</f>
        <v>352</v>
      </c>
      <c r="L10" s="44">
        <f>K10+$B3</f>
        <v>368</v>
      </c>
      <c r="M10" s="44">
        <f>L10+$B3</f>
        <v>384</v>
      </c>
    </row>
    <row r="11" spans="1:13">
      <c r="A11" s="36" t="s">
        <v>118</v>
      </c>
      <c r="B11" s="37">
        <f>B10*$B2</f>
        <v>43680</v>
      </c>
      <c r="C11" s="37">
        <f t="shared" ref="C11:M11" si="3">C10*$B2</f>
        <v>47040</v>
      </c>
      <c r="D11" s="37">
        <f t="shared" si="3"/>
        <v>50400</v>
      </c>
      <c r="E11" s="37">
        <f t="shared" si="3"/>
        <v>53760</v>
      </c>
      <c r="F11" s="37">
        <f t="shared" si="3"/>
        <v>57120</v>
      </c>
      <c r="G11" s="37">
        <f t="shared" si="3"/>
        <v>60480</v>
      </c>
      <c r="H11" s="37">
        <f t="shared" si="3"/>
        <v>63840</v>
      </c>
      <c r="I11" s="37">
        <f t="shared" si="3"/>
        <v>67200</v>
      </c>
      <c r="J11" s="37">
        <f t="shared" si="3"/>
        <v>70560</v>
      </c>
      <c r="K11" s="37">
        <f t="shared" si="3"/>
        <v>73920</v>
      </c>
      <c r="L11" s="37">
        <f t="shared" si="3"/>
        <v>77280</v>
      </c>
      <c r="M11" s="37">
        <f t="shared" si="3"/>
        <v>80640</v>
      </c>
    </row>
    <row r="12" spans="1:13">
      <c r="L12" s="41" t="s">
        <v>220</v>
      </c>
      <c r="M12" s="43">
        <f>SUM(B11:M11)</f>
        <v>745920</v>
      </c>
    </row>
    <row r="18" spans="1:13">
      <c r="A18" s="41" t="s">
        <v>204</v>
      </c>
      <c r="B18" s="42">
        <f>'B - Cash Flow Projections'!F18</f>
        <v>85</v>
      </c>
    </row>
    <row r="19" spans="1:13">
      <c r="A19" s="41" t="s">
        <v>219</v>
      </c>
      <c r="B19" s="45">
        <v>22</v>
      </c>
    </row>
    <row r="21" spans="1:13">
      <c r="B21" s="36" t="s">
        <v>106</v>
      </c>
      <c r="C21" s="36" t="s">
        <v>107</v>
      </c>
      <c r="D21" s="36" t="s">
        <v>108</v>
      </c>
      <c r="E21" s="36" t="s">
        <v>109</v>
      </c>
      <c r="F21" s="36" t="s">
        <v>110</v>
      </c>
      <c r="G21" s="36" t="s">
        <v>111</v>
      </c>
      <c r="H21" s="36" t="s">
        <v>112</v>
      </c>
      <c r="I21" s="36" t="s">
        <v>113</v>
      </c>
      <c r="J21" s="36" t="s">
        <v>114</v>
      </c>
      <c r="K21" s="36" t="s">
        <v>115</v>
      </c>
      <c r="L21" s="36" t="s">
        <v>116</v>
      </c>
      <c r="M21" s="36" t="s">
        <v>117</v>
      </c>
    </row>
    <row r="22" spans="1:13">
      <c r="A22" s="36" t="s">
        <v>217</v>
      </c>
      <c r="B22" s="44">
        <f>B19</f>
        <v>22</v>
      </c>
      <c r="C22" s="44">
        <f>B19+B22</f>
        <v>44</v>
      </c>
      <c r="D22" s="44">
        <f t="shared" ref="D22:M22" si="4">C22+$B19</f>
        <v>66</v>
      </c>
      <c r="E22" s="44">
        <f t="shared" si="4"/>
        <v>88</v>
      </c>
      <c r="F22" s="44">
        <f t="shared" si="4"/>
        <v>110</v>
      </c>
      <c r="G22" s="44">
        <f t="shared" si="4"/>
        <v>132</v>
      </c>
      <c r="H22" s="44">
        <f t="shared" si="4"/>
        <v>154</v>
      </c>
      <c r="I22" s="44">
        <f t="shared" si="4"/>
        <v>176</v>
      </c>
      <c r="J22" s="44">
        <f t="shared" si="4"/>
        <v>198</v>
      </c>
      <c r="K22" s="44">
        <f t="shared" si="4"/>
        <v>220</v>
      </c>
      <c r="L22" s="44">
        <f t="shared" si="4"/>
        <v>242</v>
      </c>
      <c r="M22" s="44">
        <f t="shared" si="4"/>
        <v>264</v>
      </c>
    </row>
    <row r="23" spans="1:13">
      <c r="A23" s="36" t="s">
        <v>218</v>
      </c>
      <c r="B23" s="37">
        <f t="shared" ref="B23:M23" si="5">$B18*B22</f>
        <v>1870</v>
      </c>
      <c r="C23" s="37">
        <f t="shared" si="5"/>
        <v>3740</v>
      </c>
      <c r="D23" s="37">
        <f t="shared" si="5"/>
        <v>5610</v>
      </c>
      <c r="E23" s="37">
        <f t="shared" si="5"/>
        <v>7480</v>
      </c>
      <c r="F23" s="37">
        <f t="shared" si="5"/>
        <v>9350</v>
      </c>
      <c r="G23" s="37">
        <f t="shared" si="5"/>
        <v>11220</v>
      </c>
      <c r="H23" s="37">
        <f t="shared" si="5"/>
        <v>13090</v>
      </c>
      <c r="I23" s="37">
        <f t="shared" si="5"/>
        <v>14960</v>
      </c>
      <c r="J23" s="37">
        <f t="shared" si="5"/>
        <v>16830</v>
      </c>
      <c r="K23" s="37">
        <f t="shared" si="5"/>
        <v>18700</v>
      </c>
      <c r="L23" s="37">
        <f t="shared" si="5"/>
        <v>20570</v>
      </c>
      <c r="M23" s="37">
        <f t="shared" si="5"/>
        <v>22440</v>
      </c>
    </row>
    <row r="24" spans="1:13">
      <c r="L24" s="41" t="s">
        <v>119</v>
      </c>
      <c r="M24" s="43">
        <f>SUM(B23:M23)</f>
        <v>145860</v>
      </c>
    </row>
    <row r="26" spans="1:13">
      <c r="B26" s="36" t="s">
        <v>205</v>
      </c>
      <c r="C26" s="36" t="s">
        <v>206</v>
      </c>
      <c r="D26" s="36" t="s">
        <v>207</v>
      </c>
      <c r="E26" s="36" t="s">
        <v>208</v>
      </c>
      <c r="F26" s="36" t="s">
        <v>209</v>
      </c>
      <c r="G26" s="36" t="s">
        <v>210</v>
      </c>
      <c r="H26" s="36" t="s">
        <v>211</v>
      </c>
      <c r="I26" s="36" t="s">
        <v>212</v>
      </c>
      <c r="J26" s="36" t="s">
        <v>213</v>
      </c>
      <c r="K26" s="36" t="s">
        <v>214</v>
      </c>
      <c r="L26" s="36" t="s">
        <v>215</v>
      </c>
      <c r="M26" s="36" t="s">
        <v>216</v>
      </c>
    </row>
    <row r="27" spans="1:13">
      <c r="A27" s="36" t="s">
        <v>217</v>
      </c>
      <c r="B27" s="44">
        <f>M22+B19</f>
        <v>286</v>
      </c>
      <c r="C27" s="44">
        <f>B27+$B19</f>
        <v>308</v>
      </c>
      <c r="D27" s="44">
        <f t="shared" ref="D27:M27" si="6">C27+$B19</f>
        <v>330</v>
      </c>
      <c r="E27" s="44">
        <f t="shared" si="6"/>
        <v>352</v>
      </c>
      <c r="F27" s="44">
        <f t="shared" si="6"/>
        <v>374</v>
      </c>
      <c r="G27" s="44">
        <f t="shared" si="6"/>
        <v>396</v>
      </c>
      <c r="H27" s="44">
        <f t="shared" si="6"/>
        <v>418</v>
      </c>
      <c r="I27" s="44">
        <f t="shared" si="6"/>
        <v>440</v>
      </c>
      <c r="J27" s="44">
        <f t="shared" si="6"/>
        <v>462</v>
      </c>
      <c r="K27" s="44">
        <f t="shared" si="6"/>
        <v>484</v>
      </c>
      <c r="L27" s="44">
        <f t="shared" si="6"/>
        <v>506</v>
      </c>
      <c r="M27" s="44">
        <f t="shared" si="6"/>
        <v>528</v>
      </c>
    </row>
    <row r="28" spans="1:13">
      <c r="A28" s="36" t="s">
        <v>118</v>
      </c>
      <c r="B28" s="37">
        <f>$B18*B27</f>
        <v>24310</v>
      </c>
      <c r="C28" s="37">
        <f t="shared" ref="C28:M28" si="7">$B18*C27</f>
        <v>26180</v>
      </c>
      <c r="D28" s="37">
        <f t="shared" si="7"/>
        <v>28050</v>
      </c>
      <c r="E28" s="37">
        <f t="shared" si="7"/>
        <v>29920</v>
      </c>
      <c r="F28" s="37">
        <f t="shared" si="7"/>
        <v>31790</v>
      </c>
      <c r="G28" s="37">
        <f t="shared" si="7"/>
        <v>33660</v>
      </c>
      <c r="H28" s="37">
        <f t="shared" si="7"/>
        <v>35530</v>
      </c>
      <c r="I28" s="37">
        <f t="shared" si="7"/>
        <v>37400</v>
      </c>
      <c r="J28" s="37">
        <f t="shared" si="7"/>
        <v>39270</v>
      </c>
      <c r="K28" s="37">
        <f t="shared" si="7"/>
        <v>41140</v>
      </c>
      <c r="L28" s="37">
        <f t="shared" si="7"/>
        <v>43010</v>
      </c>
      <c r="M28" s="37">
        <f t="shared" si="7"/>
        <v>44880</v>
      </c>
    </row>
    <row r="29" spans="1:13">
      <c r="L29" s="41" t="s">
        <v>220</v>
      </c>
      <c r="M29" s="43">
        <f>SUM(B28:M28)</f>
        <v>415140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7924-9D12-494F-BEBF-CB643AE82461}">
  <sheetPr>
    <tabColor rgb="FF00B0F0"/>
  </sheetPr>
  <dimension ref="A1:N381"/>
  <sheetViews>
    <sheetView workbookViewId="0">
      <selection activeCell="C8" sqref="C8"/>
    </sheetView>
  </sheetViews>
  <sheetFormatPr defaultRowHeight="15"/>
  <cols>
    <col min="2" max="2" width="19.85546875" bestFit="1" customWidth="1"/>
    <col min="3" max="3" width="14.5703125" bestFit="1" customWidth="1"/>
    <col min="4" max="4" width="15.5703125" customWidth="1"/>
    <col min="6" max="6" width="16" customWidth="1"/>
    <col min="7" max="7" width="12.7109375" bestFit="1" customWidth="1"/>
    <col min="9" max="9" width="24.85546875" bestFit="1" customWidth="1"/>
    <col min="11" max="11" width="10.140625" bestFit="1" customWidth="1"/>
  </cols>
  <sheetData>
    <row r="1" spans="1:7" ht="23.25">
      <c r="A1" s="3" t="s">
        <v>63</v>
      </c>
      <c r="B1" s="4"/>
      <c r="C1" s="4"/>
      <c r="D1" s="4"/>
      <c r="E1" s="4"/>
      <c r="F1" s="4"/>
      <c r="G1" s="4"/>
    </row>
    <row r="5" spans="1:7" ht="23.25">
      <c r="A5" s="3" t="s">
        <v>64</v>
      </c>
      <c r="B5" s="4"/>
      <c r="C5" s="4"/>
      <c r="D5" s="4"/>
      <c r="E5" s="4"/>
      <c r="F5" s="4"/>
      <c r="G5" s="4"/>
    </row>
    <row r="6" spans="1:7">
      <c r="A6" s="5" t="s">
        <v>65</v>
      </c>
      <c r="B6" s="6"/>
      <c r="C6" s="7"/>
      <c r="E6" s="5" t="s">
        <v>66</v>
      </c>
      <c r="F6" s="4"/>
      <c r="G6" s="4"/>
    </row>
    <row r="7" spans="1:7">
      <c r="B7" s="8" t="s">
        <v>67</v>
      </c>
      <c r="C7" s="9">
        <f>'B - Cash Flow Projections'!C36</f>
        <v>55030920.174897306</v>
      </c>
      <c r="F7" s="8" t="s">
        <v>68</v>
      </c>
      <c r="G7" s="10"/>
    </row>
    <row r="8" spans="1:7">
      <c r="B8" s="8" t="s">
        <v>69</v>
      </c>
      <c r="C8" s="11">
        <f>'B - Cash Flow Projections'!C39</f>
        <v>4.2500000000000003E-2</v>
      </c>
      <c r="F8" s="8" t="s">
        <v>70</v>
      </c>
      <c r="G8" s="12">
        <v>1</v>
      </c>
    </row>
    <row r="9" spans="1:7">
      <c r="B9" s="8" t="s">
        <v>71</v>
      </c>
      <c r="C9" s="514">
        <f>'B - Cash Flow Projections'!C41</f>
        <v>30</v>
      </c>
    </row>
    <row r="10" spans="1:7">
      <c r="B10" s="8" t="s">
        <v>72</v>
      </c>
      <c r="C10" s="12">
        <v>12</v>
      </c>
    </row>
    <row r="11" spans="1:7">
      <c r="B11" s="8" t="s">
        <v>73</v>
      </c>
      <c r="C11" s="10">
        <v>41426</v>
      </c>
    </row>
    <row r="12" spans="1:7">
      <c r="A12" s="5" t="s">
        <v>74</v>
      </c>
      <c r="B12" s="4"/>
      <c r="C12" s="4"/>
      <c r="D12" s="4"/>
      <c r="E12" s="4"/>
      <c r="F12" s="4"/>
      <c r="G12" s="4"/>
    </row>
    <row r="13" spans="1:7">
      <c r="B13" s="8" t="s">
        <v>75</v>
      </c>
      <c r="C13" s="13"/>
      <c r="D13" s="14" t="s">
        <v>76</v>
      </c>
    </row>
    <row r="14" spans="1:7">
      <c r="B14" s="8" t="s">
        <v>77</v>
      </c>
      <c r="C14" s="13">
        <f>PMT(Periodic_rate,Total_payments,-Loan_amount)</f>
        <v>270719.0487684274</v>
      </c>
      <c r="D14" s="14" t="s">
        <v>78</v>
      </c>
    </row>
    <row r="15" spans="1:7">
      <c r="A15" s="5" t="s">
        <v>79</v>
      </c>
      <c r="B15" s="4"/>
      <c r="C15" s="4"/>
      <c r="D15" s="4"/>
      <c r="E15" s="4"/>
      <c r="F15" s="4"/>
      <c r="G15" s="4"/>
    </row>
    <row r="16" spans="1:7">
      <c r="B16" s="8" t="s">
        <v>80</v>
      </c>
      <c r="C16" s="15">
        <f>IF(Entered_payment=0,Calculated_payment,Entered_payment)</f>
        <v>270719.0487684274</v>
      </c>
      <c r="F16" s="8" t="str">
        <f>"Beginning balance at payment "&amp;TEXT(First_payment_no,"0")&amp;":"</f>
        <v>Beginning balance at payment 1:</v>
      </c>
      <c r="G16" s="16">
        <f>FV(Annual_interest_rate/Payments_per_year,First_payment_no-1,Pmt_to_use,-Loan_amount)</f>
        <v>55030920.174897306</v>
      </c>
    </row>
    <row r="17" spans="1:10">
      <c r="B17" s="8" t="s">
        <v>81</v>
      </c>
      <c r="C17" s="17">
        <f>IF(G7=0,IF(G8=0,1,G8),1+C10*(YEAR(G7)-YEAR(C11))+INT(C10*(MONTH(G7)-MONTH(C11))/12)+IF(DAY(G7)&gt;DAY(C11),1))</f>
        <v>1</v>
      </c>
      <c r="F17" s="8" t="str">
        <f>"Cumulative interest prior to payment "&amp;TEXT(First_payment_no,"0")&amp;":"</f>
        <v>Cumulative interest prior to payment 1:</v>
      </c>
      <c r="G17" s="16">
        <f>Pmt_to_use*(First_payment_no-1)-(Loan_amount-Table_beg_bal)</f>
        <v>0</v>
      </c>
    </row>
    <row r="18" spans="1:10" ht="23.25">
      <c r="A18" s="3" t="s">
        <v>82</v>
      </c>
      <c r="B18" s="4"/>
      <c r="C18" s="4"/>
      <c r="D18" s="4"/>
      <c r="E18" s="4"/>
      <c r="F18" s="4"/>
      <c r="G18" s="4"/>
    </row>
    <row r="20" spans="1:10">
      <c r="A20" s="18"/>
      <c r="B20" s="18" t="s">
        <v>83</v>
      </c>
      <c r="C20" s="18" t="s">
        <v>84</v>
      </c>
      <c r="D20" s="18"/>
      <c r="E20" s="18"/>
      <c r="F20" s="18" t="s">
        <v>85</v>
      </c>
      <c r="G20" s="18" t="s">
        <v>86</v>
      </c>
      <c r="H20" t="s">
        <v>87</v>
      </c>
    </row>
    <row r="21" spans="1:10">
      <c r="A21" s="19" t="s">
        <v>88</v>
      </c>
      <c r="B21" s="19" t="s">
        <v>89</v>
      </c>
      <c r="C21" s="19" t="s">
        <v>90</v>
      </c>
      <c r="D21" s="19" t="s">
        <v>91</v>
      </c>
      <c r="E21" s="19" t="s">
        <v>92</v>
      </c>
      <c r="F21" s="19" t="s">
        <v>90</v>
      </c>
      <c r="G21" s="19" t="s">
        <v>91</v>
      </c>
    </row>
    <row r="22" spans="1:10">
      <c r="A22" s="20">
        <f>IF(First_payment_no&lt;Total_payments,First_payment_no,"")</f>
        <v>1</v>
      </c>
      <c r="B22" s="21">
        <f t="shared" ref="B22:B85" si="0">Show.Date</f>
        <v>41426</v>
      </c>
      <c r="C22" s="22">
        <f>IF(A22&lt;&gt;"",IF(Table_beg_bal&lt;0,0,Table_beg_bal),"")</f>
        <v>55030920.174897306</v>
      </c>
      <c r="D22" s="22">
        <f t="shared" ref="D22:D85" si="1">Interest</f>
        <v>194901.17561942796</v>
      </c>
      <c r="E22" s="22">
        <f t="shared" ref="E22:E85" si="2">Principal+H22</f>
        <v>75817.873148999439</v>
      </c>
      <c r="F22" s="22">
        <f t="shared" ref="F22:F85" si="3">Ending.Balance</f>
        <v>54955102.301748306</v>
      </c>
      <c r="G22" s="22">
        <f>IF(A22&lt;&gt;"",D22+Table_prior_interest,"")</f>
        <v>194901.17561942796</v>
      </c>
      <c r="H22">
        <v>0</v>
      </c>
    </row>
    <row r="23" spans="1:10">
      <c r="A23" s="23">
        <f t="shared" ref="A23:A86" si="4">payment.Num</f>
        <v>2</v>
      </c>
      <c r="B23" s="24">
        <f t="shared" si="0"/>
        <v>41456</v>
      </c>
      <c r="C23" s="25">
        <f t="shared" ref="C23:C86" si="5">Beg.Bal</f>
        <v>54955102.301748306</v>
      </c>
      <c r="D23" s="25">
        <f t="shared" si="1"/>
        <v>194632.6539853586</v>
      </c>
      <c r="E23" s="22">
        <f t="shared" si="2"/>
        <v>76086.394783068798</v>
      </c>
      <c r="F23" s="25">
        <f t="shared" si="3"/>
        <v>54879015.906965233</v>
      </c>
      <c r="G23" s="25">
        <f t="shared" ref="G23:G86" si="6">Cum.Interest</f>
        <v>389533.82960478659</v>
      </c>
      <c r="H23">
        <v>0</v>
      </c>
    </row>
    <row r="24" spans="1:10">
      <c r="A24" s="26">
        <f t="shared" si="4"/>
        <v>3</v>
      </c>
      <c r="B24" s="27">
        <f t="shared" si="0"/>
        <v>41487</v>
      </c>
      <c r="C24" s="28">
        <f t="shared" si="5"/>
        <v>54879015.906965233</v>
      </c>
      <c r="D24" s="28">
        <f t="shared" si="1"/>
        <v>194363.18133716856</v>
      </c>
      <c r="E24" s="22">
        <f t="shared" si="2"/>
        <v>76355.867431258841</v>
      </c>
      <c r="F24" s="28">
        <f t="shared" si="3"/>
        <v>54802660.039533973</v>
      </c>
      <c r="G24" s="28">
        <f t="shared" si="6"/>
        <v>583897.01094195514</v>
      </c>
      <c r="H24">
        <v>0</v>
      </c>
    </row>
    <row r="25" spans="1:10">
      <c r="A25" s="20">
        <f t="shared" si="4"/>
        <v>4</v>
      </c>
      <c r="B25" s="21">
        <f t="shared" si="0"/>
        <v>41518</v>
      </c>
      <c r="C25" s="22">
        <f t="shared" si="5"/>
        <v>54802660.039533973</v>
      </c>
      <c r="D25" s="22">
        <f t="shared" si="1"/>
        <v>194092.75430668282</v>
      </c>
      <c r="E25" s="22">
        <f t="shared" si="2"/>
        <v>76626.294461744576</v>
      </c>
      <c r="F25" s="22">
        <f t="shared" si="3"/>
        <v>54726033.745072231</v>
      </c>
      <c r="G25" s="22">
        <f t="shared" si="6"/>
        <v>777989.765248638</v>
      </c>
      <c r="H25">
        <v>0</v>
      </c>
      <c r="I25" t="s">
        <v>93</v>
      </c>
    </row>
    <row r="26" spans="1:10">
      <c r="A26" s="23">
        <f t="shared" si="4"/>
        <v>5</v>
      </c>
      <c r="B26" s="24">
        <f t="shared" si="0"/>
        <v>41548</v>
      </c>
      <c r="C26" s="25">
        <f t="shared" si="5"/>
        <v>54726033.745072231</v>
      </c>
      <c r="D26" s="25">
        <f t="shared" si="1"/>
        <v>193821.36951379749</v>
      </c>
      <c r="E26" s="22">
        <f t="shared" si="2"/>
        <v>76897.679254629911</v>
      </c>
      <c r="F26" s="25">
        <f t="shared" si="3"/>
        <v>54649136.065817602</v>
      </c>
      <c r="G26" s="25">
        <f t="shared" si="6"/>
        <v>971811.13476243545</v>
      </c>
      <c r="H26">
        <v>0</v>
      </c>
      <c r="I26" s="29">
        <f>Calculated_payment*12</f>
        <v>3248628.5852211285</v>
      </c>
    </row>
    <row r="27" spans="1:10">
      <c r="A27" s="26">
        <f t="shared" si="4"/>
        <v>6</v>
      </c>
      <c r="B27" s="27">
        <f t="shared" si="0"/>
        <v>41579</v>
      </c>
      <c r="C27" s="28">
        <f t="shared" si="5"/>
        <v>54649136.065817602</v>
      </c>
      <c r="D27" s="28">
        <f t="shared" si="1"/>
        <v>193549.02356643736</v>
      </c>
      <c r="E27" s="22">
        <f t="shared" si="2"/>
        <v>77170.025201990036</v>
      </c>
      <c r="F27" s="28">
        <f t="shared" si="3"/>
        <v>54571966.040615611</v>
      </c>
      <c r="G27" s="28">
        <f t="shared" si="6"/>
        <v>1165360.1583288729</v>
      </c>
      <c r="H27">
        <v>0</v>
      </c>
      <c r="I27" s="29"/>
    </row>
    <row r="28" spans="1:10">
      <c r="A28" s="20">
        <f t="shared" si="4"/>
        <v>7</v>
      </c>
      <c r="B28" s="21">
        <f t="shared" si="0"/>
        <v>41609</v>
      </c>
      <c r="C28" s="22">
        <f t="shared" si="5"/>
        <v>54571966.040615611</v>
      </c>
      <c r="D28" s="22">
        <f t="shared" si="1"/>
        <v>193275.71306051363</v>
      </c>
      <c r="E28" s="22">
        <f t="shared" si="2"/>
        <v>77443.335707913764</v>
      </c>
      <c r="F28" s="22">
        <f t="shared" si="3"/>
        <v>54494522.7049077</v>
      </c>
      <c r="G28" s="22">
        <f t="shared" si="6"/>
        <v>1358635.8713893865</v>
      </c>
      <c r="H28">
        <v>0</v>
      </c>
      <c r="I28" s="29" t="s">
        <v>94</v>
      </c>
    </row>
    <row r="29" spans="1:10">
      <c r="A29" s="23">
        <f t="shared" si="4"/>
        <v>8</v>
      </c>
      <c r="B29" s="24">
        <f t="shared" si="0"/>
        <v>41640</v>
      </c>
      <c r="C29" s="25">
        <f t="shared" si="5"/>
        <v>54494522.7049077</v>
      </c>
      <c r="D29" s="25">
        <f t="shared" si="1"/>
        <v>193001.43457988146</v>
      </c>
      <c r="E29" s="22">
        <f t="shared" si="2"/>
        <v>77717.614188545936</v>
      </c>
      <c r="F29" s="25">
        <f t="shared" si="3"/>
        <v>54416805.090719156</v>
      </c>
      <c r="G29" s="25">
        <f t="shared" si="6"/>
        <v>1551637.3059692679</v>
      </c>
      <c r="H29">
        <v>0</v>
      </c>
      <c r="I29" s="29">
        <f>SUM(D22:D33)</f>
        <v>2320880.7797444938</v>
      </c>
      <c r="J29" s="35"/>
    </row>
    <row r="30" spans="1:10">
      <c r="A30" s="26">
        <f t="shared" si="4"/>
        <v>9</v>
      </c>
      <c r="B30" s="27">
        <f t="shared" si="0"/>
        <v>41671</v>
      </c>
      <c r="C30" s="28">
        <f t="shared" si="5"/>
        <v>54416805.090719156</v>
      </c>
      <c r="D30" s="28">
        <f t="shared" si="1"/>
        <v>192726.18469629702</v>
      </c>
      <c r="E30" s="22">
        <f t="shared" si="2"/>
        <v>77992.864072130382</v>
      </c>
      <c r="F30" s="28">
        <f t="shared" si="3"/>
        <v>54338812.226647027</v>
      </c>
      <c r="G30" s="28">
        <f t="shared" si="6"/>
        <v>1744363.4906655648</v>
      </c>
      <c r="H30">
        <v>0</v>
      </c>
      <c r="I30" s="29"/>
    </row>
    <row r="31" spans="1:10">
      <c r="A31" s="20">
        <f t="shared" si="4"/>
        <v>10</v>
      </c>
      <c r="B31" s="21">
        <f t="shared" si="0"/>
        <v>41699</v>
      </c>
      <c r="C31" s="22">
        <f t="shared" si="5"/>
        <v>54338812.226647027</v>
      </c>
      <c r="D31" s="22">
        <f t="shared" si="1"/>
        <v>192449.9599693749</v>
      </c>
      <c r="E31" s="22">
        <f t="shared" si="2"/>
        <v>78269.088799052493</v>
      </c>
      <c r="F31" s="22">
        <f t="shared" si="3"/>
        <v>54260543.137847975</v>
      </c>
      <c r="G31" s="22">
        <f t="shared" si="6"/>
        <v>1936813.4506349396</v>
      </c>
      <c r="H31">
        <v>0</v>
      </c>
      <c r="I31" s="29" t="s">
        <v>95</v>
      </c>
    </row>
    <row r="32" spans="1:10">
      <c r="A32" s="20">
        <f t="shared" si="4"/>
        <v>11</v>
      </c>
      <c r="B32" s="21">
        <f t="shared" si="0"/>
        <v>41730</v>
      </c>
      <c r="C32" s="22">
        <f t="shared" si="5"/>
        <v>54260543.137847975</v>
      </c>
      <c r="D32" s="22">
        <f t="shared" si="1"/>
        <v>192172.75694654492</v>
      </c>
      <c r="E32" s="22">
        <f t="shared" si="2"/>
        <v>78546.291821882478</v>
      </c>
      <c r="F32" s="22">
        <f t="shared" si="3"/>
        <v>54181996.846026093</v>
      </c>
      <c r="G32" s="22">
        <f t="shared" si="6"/>
        <v>2128986.2075814847</v>
      </c>
      <c r="H32">
        <v>0</v>
      </c>
      <c r="I32" s="29">
        <f>SUM(E22:E33)</f>
        <v>927747.805476635</v>
      </c>
      <c r="J32">
        <v>12</v>
      </c>
    </row>
    <row r="33" spans="1:11">
      <c r="A33" s="20">
        <f t="shared" si="4"/>
        <v>12</v>
      </c>
      <c r="B33" s="21">
        <f t="shared" si="0"/>
        <v>41760</v>
      </c>
      <c r="C33" s="22">
        <f t="shared" si="5"/>
        <v>54181996.846026093</v>
      </c>
      <c r="D33" s="22">
        <f t="shared" si="1"/>
        <v>191894.57216300908</v>
      </c>
      <c r="E33" s="22">
        <f t="shared" si="2"/>
        <v>78824.476605418313</v>
      </c>
      <c r="F33" s="22">
        <f t="shared" si="3"/>
        <v>54103172.369420677</v>
      </c>
      <c r="G33" s="22">
        <f t="shared" si="6"/>
        <v>2320880.7797444938</v>
      </c>
      <c r="H33">
        <v>0</v>
      </c>
      <c r="I33" s="29">
        <f>SUM(E34:E45)</f>
        <v>967954.27667724912</v>
      </c>
      <c r="J33" t="s">
        <v>96</v>
      </c>
    </row>
    <row r="34" spans="1:11">
      <c r="A34" s="20">
        <f t="shared" si="4"/>
        <v>13</v>
      </c>
      <c r="B34" s="21">
        <f t="shared" si="0"/>
        <v>41791</v>
      </c>
      <c r="C34" s="22">
        <f t="shared" si="5"/>
        <v>54103172.369420677</v>
      </c>
      <c r="D34" s="22">
        <f t="shared" si="1"/>
        <v>191615.40214169826</v>
      </c>
      <c r="E34" s="22">
        <f t="shared" si="2"/>
        <v>79103.64662672914</v>
      </c>
      <c r="F34" s="22">
        <f t="shared" si="3"/>
        <v>54024068.722793952</v>
      </c>
      <c r="G34" s="22">
        <f t="shared" si="6"/>
        <v>2512496.1818861919</v>
      </c>
      <c r="H34">
        <v>0</v>
      </c>
      <c r="I34" s="29">
        <f>SUM(E46:E57)</f>
        <v>1009903.2045205669</v>
      </c>
      <c r="J34" t="s">
        <v>97</v>
      </c>
    </row>
    <row r="35" spans="1:11">
      <c r="A35" s="20">
        <f t="shared" si="4"/>
        <v>14</v>
      </c>
      <c r="B35" s="21">
        <f t="shared" si="0"/>
        <v>41821</v>
      </c>
      <c r="C35" s="22">
        <f t="shared" si="5"/>
        <v>54024068.722793952</v>
      </c>
      <c r="D35" s="22">
        <f t="shared" si="1"/>
        <v>191335.24339322859</v>
      </c>
      <c r="E35" s="22">
        <f t="shared" si="2"/>
        <v>79383.805375198805</v>
      </c>
      <c r="F35" s="22">
        <f t="shared" si="3"/>
        <v>53944684.917418756</v>
      </c>
      <c r="G35" s="22">
        <f t="shared" si="6"/>
        <v>2703831.4252794203</v>
      </c>
      <c r="H35">
        <v>0</v>
      </c>
      <c r="I35" s="29">
        <f>SUM(E58:E69)</f>
        <v>1053670.10309825</v>
      </c>
      <c r="J35" t="s">
        <v>98</v>
      </c>
    </row>
    <row r="36" spans="1:11">
      <c r="A36" s="20">
        <f t="shared" si="4"/>
        <v>15</v>
      </c>
      <c r="B36" s="21">
        <f t="shared" si="0"/>
        <v>41852</v>
      </c>
      <c r="C36" s="22">
        <f t="shared" si="5"/>
        <v>53944684.917418756</v>
      </c>
      <c r="D36" s="22">
        <f t="shared" si="1"/>
        <v>191054.09241585812</v>
      </c>
      <c r="E36" s="22">
        <f t="shared" si="2"/>
        <v>79664.956352569279</v>
      </c>
      <c r="F36" s="22">
        <f t="shared" si="3"/>
        <v>53865019.961066186</v>
      </c>
      <c r="G36" s="22">
        <f t="shared" si="6"/>
        <v>2894885.5176952784</v>
      </c>
      <c r="H36">
        <v>0</v>
      </c>
      <c r="I36" s="29">
        <f>SUM(E70:E81)</f>
        <v>1099333.7591102449</v>
      </c>
      <c r="J36" t="s">
        <v>99</v>
      </c>
    </row>
    <row r="37" spans="1:11">
      <c r="A37" s="20">
        <f t="shared" si="4"/>
        <v>16</v>
      </c>
      <c r="B37" s="21">
        <f t="shared" si="0"/>
        <v>41883</v>
      </c>
      <c r="C37" s="22">
        <f t="shared" si="5"/>
        <v>53865019.961066186</v>
      </c>
      <c r="D37" s="22">
        <f t="shared" si="1"/>
        <v>190771.94569544276</v>
      </c>
      <c r="E37" s="22">
        <f t="shared" si="2"/>
        <v>79947.103072984639</v>
      </c>
      <c r="F37" s="22">
        <f t="shared" si="3"/>
        <v>53785072.8579932</v>
      </c>
      <c r="G37" s="22">
        <f t="shared" si="6"/>
        <v>3085657.463390721</v>
      </c>
      <c r="H37">
        <v>0</v>
      </c>
      <c r="I37" s="29">
        <f>SUM(E82:E93)</f>
        <v>1146976.3736921479</v>
      </c>
      <c r="J37" t="s">
        <v>100</v>
      </c>
    </row>
    <row r="38" spans="1:11">
      <c r="A38" s="20">
        <f t="shared" si="4"/>
        <v>17</v>
      </c>
      <c r="B38" s="21">
        <f t="shared" si="0"/>
        <v>41913</v>
      </c>
      <c r="C38" s="22">
        <f t="shared" si="5"/>
        <v>53785072.8579932</v>
      </c>
      <c r="D38" s="22">
        <f t="shared" si="1"/>
        <v>190488.79970539259</v>
      </c>
      <c r="E38" s="22">
        <f t="shared" si="2"/>
        <v>80230.249063034804</v>
      </c>
      <c r="F38" s="22">
        <f t="shared" si="3"/>
        <v>53704842.608930163</v>
      </c>
      <c r="G38" s="22">
        <f t="shared" si="6"/>
        <v>3276146.2630961137</v>
      </c>
      <c r="H38">
        <v>0</v>
      </c>
    </row>
    <row r="39" spans="1:11">
      <c r="A39" s="20">
        <f t="shared" si="4"/>
        <v>18</v>
      </c>
      <c r="B39" s="21">
        <f t="shared" si="0"/>
        <v>41944</v>
      </c>
      <c r="C39" s="22">
        <f t="shared" si="5"/>
        <v>53704842.608930163</v>
      </c>
      <c r="D39" s="22">
        <f t="shared" si="1"/>
        <v>190204.65090662768</v>
      </c>
      <c r="E39" s="22">
        <f t="shared" si="2"/>
        <v>80514.39786179972</v>
      </c>
      <c r="F39" s="22">
        <f t="shared" si="3"/>
        <v>53624328.211068362</v>
      </c>
      <c r="G39" s="22">
        <f t="shared" si="6"/>
        <v>3466350.9140027412</v>
      </c>
      <c r="H39">
        <v>0</v>
      </c>
    </row>
    <row r="40" spans="1:11">
      <c r="A40" s="20">
        <f t="shared" si="4"/>
        <v>19</v>
      </c>
      <c r="B40" s="21">
        <f t="shared" si="0"/>
        <v>41974</v>
      </c>
      <c r="C40" s="22">
        <f t="shared" si="5"/>
        <v>53624328.211068362</v>
      </c>
      <c r="D40" s="22">
        <f t="shared" si="1"/>
        <v>189919.4957475338</v>
      </c>
      <c r="E40" s="22">
        <f t="shared" si="2"/>
        <v>80799.553020893596</v>
      </c>
      <c r="F40" s="22">
        <f t="shared" si="3"/>
        <v>53543528.658047467</v>
      </c>
      <c r="G40" s="22">
        <f t="shared" si="6"/>
        <v>3656270.4097502748</v>
      </c>
      <c r="H40">
        <v>0</v>
      </c>
    </row>
    <row r="41" spans="1:11">
      <c r="A41" s="20">
        <f t="shared" si="4"/>
        <v>20</v>
      </c>
      <c r="B41" s="21">
        <f t="shared" si="0"/>
        <v>42005</v>
      </c>
      <c r="C41" s="22">
        <f t="shared" si="5"/>
        <v>53543528.658047467</v>
      </c>
      <c r="D41" s="22">
        <f t="shared" si="1"/>
        <v>189633.33066391814</v>
      </c>
      <c r="E41" s="22">
        <f t="shared" si="2"/>
        <v>81085.718104509258</v>
      </c>
      <c r="F41" s="22">
        <f t="shared" si="3"/>
        <v>53462442.939942956</v>
      </c>
      <c r="G41" s="22">
        <f t="shared" si="6"/>
        <v>3845903.7404141929</v>
      </c>
      <c r="H41">
        <v>0</v>
      </c>
    </row>
    <row r="42" spans="1:11">
      <c r="A42" s="20">
        <f t="shared" si="4"/>
        <v>21</v>
      </c>
      <c r="B42" s="21">
        <f t="shared" si="0"/>
        <v>42036</v>
      </c>
      <c r="C42" s="22">
        <f t="shared" si="5"/>
        <v>53462442.939942956</v>
      </c>
      <c r="D42" s="22">
        <f t="shared" si="1"/>
        <v>189346.15207896466</v>
      </c>
      <c r="E42" s="22">
        <f t="shared" si="2"/>
        <v>81372.896689462737</v>
      </c>
      <c r="F42" s="22">
        <f t="shared" si="3"/>
        <v>53381070.043253496</v>
      </c>
      <c r="G42" s="22">
        <f t="shared" si="6"/>
        <v>4035249.8924931576</v>
      </c>
      <c r="H42">
        <v>0</v>
      </c>
    </row>
    <row r="43" spans="1:11">
      <c r="A43" s="20">
        <f t="shared" si="4"/>
        <v>22</v>
      </c>
      <c r="B43" s="21">
        <f t="shared" si="0"/>
        <v>42064</v>
      </c>
      <c r="C43" s="22">
        <f t="shared" si="5"/>
        <v>53381070.043253496</v>
      </c>
      <c r="D43" s="22">
        <f t="shared" si="1"/>
        <v>189057.95640318948</v>
      </c>
      <c r="E43" s="22">
        <f t="shared" si="2"/>
        <v>81661.092365237913</v>
      </c>
      <c r="F43" s="22">
        <f t="shared" si="3"/>
        <v>53299408.950888261</v>
      </c>
      <c r="G43" s="22">
        <f t="shared" si="6"/>
        <v>4224307.848896347</v>
      </c>
      <c r="H43">
        <v>0</v>
      </c>
    </row>
    <row r="44" spans="1:11">
      <c r="A44" s="20">
        <f t="shared" si="4"/>
        <v>23</v>
      </c>
      <c r="B44" s="21">
        <f t="shared" si="0"/>
        <v>42095</v>
      </c>
      <c r="C44" s="22">
        <f t="shared" si="5"/>
        <v>53299408.950888261</v>
      </c>
      <c r="D44" s="22">
        <f t="shared" si="1"/>
        <v>188768.74003439595</v>
      </c>
      <c r="E44" s="22">
        <f t="shared" si="2"/>
        <v>81950.308734031452</v>
      </c>
      <c r="F44" s="22">
        <f t="shared" si="3"/>
        <v>53217458.642154232</v>
      </c>
      <c r="G44" s="22">
        <f t="shared" si="6"/>
        <v>4413076.5889307428</v>
      </c>
      <c r="H44">
        <v>0</v>
      </c>
    </row>
    <row r="45" spans="1:11">
      <c r="A45" s="20">
        <f t="shared" si="4"/>
        <v>24</v>
      </c>
      <c r="B45" s="21">
        <f t="shared" si="0"/>
        <v>42125</v>
      </c>
      <c r="C45" s="22">
        <f t="shared" si="5"/>
        <v>53217458.642154232</v>
      </c>
      <c r="D45" s="22">
        <f t="shared" si="1"/>
        <v>188478.4993576296</v>
      </c>
      <c r="E45" s="22">
        <f t="shared" si="2"/>
        <v>82240.549410797801</v>
      </c>
      <c r="F45" s="22">
        <f t="shared" si="3"/>
        <v>53135218.092743434</v>
      </c>
      <c r="G45" s="22">
        <f t="shared" si="6"/>
        <v>4601555.0882883724</v>
      </c>
      <c r="H45">
        <v>0</v>
      </c>
    </row>
    <row r="46" spans="1:11">
      <c r="A46" s="20">
        <f t="shared" si="4"/>
        <v>25</v>
      </c>
      <c r="B46" s="21">
        <f t="shared" si="0"/>
        <v>42156</v>
      </c>
      <c r="C46" s="22">
        <f t="shared" si="5"/>
        <v>53135218.092743434</v>
      </c>
      <c r="D46" s="22">
        <f t="shared" si="1"/>
        <v>188187.23074513301</v>
      </c>
      <c r="E46" s="22">
        <f t="shared" si="2"/>
        <v>82531.818023294385</v>
      </c>
      <c r="F46" s="22">
        <f t="shared" si="3"/>
        <v>53052686.27472014</v>
      </c>
      <c r="G46" s="22">
        <f t="shared" si="6"/>
        <v>4789742.3190335054</v>
      </c>
      <c r="H46">
        <v>0</v>
      </c>
    </row>
    <row r="47" spans="1:11">
      <c r="A47" s="20">
        <f t="shared" si="4"/>
        <v>26</v>
      </c>
      <c r="B47" s="21">
        <f t="shared" si="0"/>
        <v>42186</v>
      </c>
      <c r="C47" s="22">
        <f t="shared" si="5"/>
        <v>53052686.27472014</v>
      </c>
      <c r="D47" s="22">
        <f t="shared" si="1"/>
        <v>187894.9305563005</v>
      </c>
      <c r="E47" s="22">
        <f t="shared" si="2"/>
        <v>82824.118212126894</v>
      </c>
      <c r="F47" s="22">
        <f t="shared" si="3"/>
        <v>52969862.156508014</v>
      </c>
      <c r="G47" s="22">
        <f t="shared" si="6"/>
        <v>4977637.2495898055</v>
      </c>
      <c r="K47" s="30">
        <f>SUM(E39:E50)</f>
        <v>985216.9788350641</v>
      </c>
    </row>
    <row r="48" spans="1:11">
      <c r="A48" s="20">
        <f t="shared" si="4"/>
        <v>27</v>
      </c>
      <c r="B48" s="21">
        <f t="shared" si="0"/>
        <v>42217</v>
      </c>
      <c r="C48" s="22">
        <f t="shared" si="5"/>
        <v>52969862.156508014</v>
      </c>
      <c r="D48" s="22">
        <f t="shared" si="1"/>
        <v>187601.59513763257</v>
      </c>
      <c r="E48" s="22">
        <f t="shared" si="2"/>
        <v>83117.453630794829</v>
      </c>
      <c r="F48" s="22">
        <f t="shared" si="3"/>
        <v>52886744.702877216</v>
      </c>
      <c r="G48" s="22">
        <f t="shared" si="6"/>
        <v>5165238.8447274379</v>
      </c>
      <c r="K48" s="30">
        <f>SUM(E22:E50)</f>
        <v>2311294.5448022159</v>
      </c>
    </row>
    <row r="49" spans="1:7">
      <c r="A49" s="20">
        <f t="shared" si="4"/>
        <v>28</v>
      </c>
      <c r="B49" s="21">
        <f t="shared" si="0"/>
        <v>42248</v>
      </c>
      <c r="C49" s="22">
        <f t="shared" si="5"/>
        <v>52886744.702877216</v>
      </c>
      <c r="D49" s="22">
        <f t="shared" si="1"/>
        <v>187307.22082269014</v>
      </c>
      <c r="E49" s="22">
        <f t="shared" si="2"/>
        <v>83411.827945737256</v>
      </c>
      <c r="F49" s="22">
        <f t="shared" si="3"/>
        <v>52803332.874931477</v>
      </c>
      <c r="G49" s="22">
        <f t="shared" si="6"/>
        <v>5352546.065550128</v>
      </c>
    </row>
    <row r="50" spans="1:7">
      <c r="A50" s="20">
        <f t="shared" si="4"/>
        <v>29</v>
      </c>
      <c r="B50" s="21">
        <f t="shared" si="0"/>
        <v>42278</v>
      </c>
      <c r="C50" s="22">
        <f t="shared" si="5"/>
        <v>52803332.874931477</v>
      </c>
      <c r="D50" s="22">
        <f t="shared" si="1"/>
        <v>187011.80393204899</v>
      </c>
      <c r="E50" s="22">
        <f t="shared" si="2"/>
        <v>83707.244836378406</v>
      </c>
      <c r="F50" s="22">
        <f t="shared" si="3"/>
        <v>52719625.630095102</v>
      </c>
      <c r="G50" s="22">
        <f t="shared" si="6"/>
        <v>5539557.8694821773</v>
      </c>
    </row>
    <row r="51" spans="1:7">
      <c r="A51" s="20">
        <f t="shared" si="4"/>
        <v>30</v>
      </c>
      <c r="B51" s="21">
        <f t="shared" si="0"/>
        <v>42309</v>
      </c>
      <c r="C51" s="22">
        <f t="shared" si="5"/>
        <v>52719625.630095102</v>
      </c>
      <c r="D51" s="22">
        <f t="shared" si="1"/>
        <v>186715.3407732535</v>
      </c>
      <c r="E51" s="22">
        <f t="shared" si="2"/>
        <v>84003.7079951739</v>
      </c>
      <c r="F51" s="22">
        <f t="shared" si="3"/>
        <v>52635621.922099926</v>
      </c>
      <c r="G51" s="22">
        <f t="shared" si="6"/>
        <v>5726273.210255431</v>
      </c>
    </row>
    <row r="52" spans="1:7">
      <c r="A52" s="20">
        <f t="shared" si="4"/>
        <v>31</v>
      </c>
      <c r="B52" s="21">
        <f t="shared" si="0"/>
        <v>42339</v>
      </c>
      <c r="C52" s="22">
        <f t="shared" si="5"/>
        <v>52635621.922099926</v>
      </c>
      <c r="D52" s="22">
        <f t="shared" si="1"/>
        <v>186417.82764077059</v>
      </c>
      <c r="E52" s="22">
        <f t="shared" si="2"/>
        <v>84301.221127656812</v>
      </c>
      <c r="F52" s="22">
        <f t="shared" si="3"/>
        <v>52551320.700972266</v>
      </c>
      <c r="G52" s="22">
        <f t="shared" si="6"/>
        <v>5912691.0378962019</v>
      </c>
    </row>
    <row r="53" spans="1:7">
      <c r="A53" s="20">
        <f t="shared" si="4"/>
        <v>32</v>
      </c>
      <c r="B53" s="21">
        <f t="shared" si="0"/>
        <v>42370</v>
      </c>
      <c r="C53" s="22">
        <f t="shared" si="5"/>
        <v>52551320.700972266</v>
      </c>
      <c r="D53" s="22">
        <f t="shared" si="1"/>
        <v>186119.26081594345</v>
      </c>
      <c r="E53" s="22">
        <f t="shared" si="2"/>
        <v>84599.787952483952</v>
      </c>
      <c r="F53" s="22">
        <f t="shared" si="3"/>
        <v>52466720.913019784</v>
      </c>
      <c r="G53" s="22">
        <f t="shared" si="6"/>
        <v>6098810.2987121455</v>
      </c>
    </row>
    <row r="54" spans="1:7">
      <c r="A54" s="20">
        <f t="shared" si="4"/>
        <v>33</v>
      </c>
      <c r="B54" s="21">
        <f t="shared" si="0"/>
        <v>42401</v>
      </c>
      <c r="C54" s="22">
        <f t="shared" si="5"/>
        <v>52466720.913019784</v>
      </c>
      <c r="D54" s="22">
        <f t="shared" si="1"/>
        <v>185819.63656694509</v>
      </c>
      <c r="E54" s="22">
        <f t="shared" si="2"/>
        <v>84899.412201482308</v>
      </c>
      <c r="F54" s="22">
        <f t="shared" si="3"/>
        <v>52381821.500818305</v>
      </c>
      <c r="G54" s="22">
        <f t="shared" si="6"/>
        <v>6284629.9352790909</v>
      </c>
    </row>
    <row r="55" spans="1:7">
      <c r="A55" s="20">
        <f t="shared" si="4"/>
        <v>34</v>
      </c>
      <c r="B55" s="21">
        <f t="shared" si="0"/>
        <v>42430</v>
      </c>
      <c r="C55" s="22">
        <f t="shared" si="5"/>
        <v>52381821.500818305</v>
      </c>
      <c r="D55" s="22">
        <f t="shared" si="1"/>
        <v>185518.95114873152</v>
      </c>
      <c r="E55" s="22">
        <f t="shared" si="2"/>
        <v>85200.09761969588</v>
      </c>
      <c r="F55" s="22">
        <f t="shared" si="3"/>
        <v>52296621.403198607</v>
      </c>
      <c r="G55" s="22">
        <f t="shared" si="6"/>
        <v>6470148.8864278225</v>
      </c>
    </row>
    <row r="56" spans="1:7">
      <c r="A56" s="20">
        <f t="shared" si="4"/>
        <v>35</v>
      </c>
      <c r="B56" s="21">
        <f t="shared" si="0"/>
        <v>42461</v>
      </c>
      <c r="C56" s="22">
        <f t="shared" si="5"/>
        <v>52296621.403198607</v>
      </c>
      <c r="D56" s="22">
        <f t="shared" si="1"/>
        <v>185217.20080299507</v>
      </c>
      <c r="E56" s="22">
        <f t="shared" si="2"/>
        <v>85501.847965432331</v>
      </c>
      <c r="F56" s="22">
        <f t="shared" si="3"/>
        <v>52211119.555233173</v>
      </c>
      <c r="G56" s="22">
        <f t="shared" si="6"/>
        <v>6655366.0872308174</v>
      </c>
    </row>
    <row r="57" spans="1:7">
      <c r="A57" s="20">
        <f t="shared" si="4"/>
        <v>36</v>
      </c>
      <c r="B57" s="21">
        <f t="shared" si="0"/>
        <v>42491</v>
      </c>
      <c r="C57" s="22">
        <f t="shared" si="5"/>
        <v>52211119.555233173</v>
      </c>
      <c r="D57" s="22">
        <f t="shared" si="1"/>
        <v>184914.3817581175</v>
      </c>
      <c r="E57" s="22">
        <f t="shared" si="2"/>
        <v>85804.667010309902</v>
      </c>
      <c r="F57" s="22">
        <f t="shared" si="3"/>
        <v>52125314.888222866</v>
      </c>
      <c r="G57" s="22">
        <f t="shared" si="6"/>
        <v>6840280.4689889345</v>
      </c>
    </row>
    <row r="58" spans="1:7">
      <c r="A58" s="20">
        <f t="shared" si="4"/>
        <v>37</v>
      </c>
      <c r="B58" s="21">
        <f t="shared" si="0"/>
        <v>42522</v>
      </c>
      <c r="C58" s="22">
        <f t="shared" si="5"/>
        <v>52125314.888222866</v>
      </c>
      <c r="D58" s="22">
        <f t="shared" si="1"/>
        <v>184610.49022912266</v>
      </c>
      <c r="E58" s="22">
        <f t="shared" si="2"/>
        <v>86108.558539304737</v>
      </c>
      <c r="F58" s="22">
        <f t="shared" si="3"/>
        <v>52039206.329683565</v>
      </c>
      <c r="G58" s="22">
        <f t="shared" si="6"/>
        <v>7024890.9592180569</v>
      </c>
    </row>
    <row r="59" spans="1:7">
      <c r="A59" s="20">
        <f t="shared" si="4"/>
        <v>38</v>
      </c>
      <c r="B59" s="21">
        <f t="shared" si="0"/>
        <v>42552</v>
      </c>
      <c r="C59" s="22">
        <f t="shared" si="5"/>
        <v>52039206.329683565</v>
      </c>
      <c r="D59" s="22">
        <f t="shared" si="1"/>
        <v>184305.52241762931</v>
      </c>
      <c r="E59" s="22">
        <f t="shared" si="2"/>
        <v>86413.526350798085</v>
      </c>
      <c r="F59" s="22">
        <f t="shared" si="3"/>
        <v>51952792.803332768</v>
      </c>
      <c r="G59" s="22">
        <f t="shared" si="6"/>
        <v>7209196.481635686</v>
      </c>
    </row>
    <row r="60" spans="1:7">
      <c r="A60" s="20">
        <f t="shared" si="4"/>
        <v>39</v>
      </c>
      <c r="B60" s="21">
        <f t="shared" si="0"/>
        <v>42583</v>
      </c>
      <c r="C60" s="22">
        <f t="shared" si="5"/>
        <v>51952792.803332768</v>
      </c>
      <c r="D60" s="22">
        <f t="shared" si="1"/>
        <v>183999.47451180356</v>
      </c>
      <c r="E60" s="22">
        <f t="shared" si="2"/>
        <v>86719.574256623833</v>
      </c>
      <c r="F60" s="22">
        <f t="shared" si="3"/>
        <v>51866073.229076147</v>
      </c>
      <c r="G60" s="22">
        <f t="shared" si="6"/>
        <v>7393195.9561474891</v>
      </c>
    </row>
    <row r="61" spans="1:7">
      <c r="A61" s="20">
        <f t="shared" si="4"/>
        <v>40</v>
      </c>
      <c r="B61" s="21">
        <f t="shared" si="0"/>
        <v>42614</v>
      </c>
      <c r="C61" s="22">
        <f t="shared" si="5"/>
        <v>51866073.229076147</v>
      </c>
      <c r="D61" s="22">
        <f t="shared" si="1"/>
        <v>183692.34268631137</v>
      </c>
      <c r="E61" s="22">
        <f t="shared" si="2"/>
        <v>87026.706082116027</v>
      </c>
      <c r="F61" s="22">
        <f t="shared" si="3"/>
        <v>51779046.522994034</v>
      </c>
      <c r="G61" s="22">
        <f t="shared" si="6"/>
        <v>7576888.2988338005</v>
      </c>
    </row>
    <row r="62" spans="1:7">
      <c r="A62" s="20">
        <f t="shared" si="4"/>
        <v>41</v>
      </c>
      <c r="B62" s="21">
        <f t="shared" si="0"/>
        <v>42644</v>
      </c>
      <c r="C62" s="22">
        <f t="shared" si="5"/>
        <v>51779046.522994034</v>
      </c>
      <c r="D62" s="22">
        <f t="shared" si="1"/>
        <v>183384.12310227056</v>
      </c>
      <c r="E62" s="22">
        <f t="shared" si="2"/>
        <v>87334.925666156836</v>
      </c>
      <c r="F62" s="22">
        <f t="shared" si="3"/>
        <v>51691711.597327881</v>
      </c>
      <c r="G62" s="22">
        <f t="shared" si="6"/>
        <v>7760272.4219360715</v>
      </c>
    </row>
    <row r="63" spans="1:7">
      <c r="A63" s="20">
        <f t="shared" si="4"/>
        <v>42</v>
      </c>
      <c r="B63" s="21">
        <f t="shared" si="0"/>
        <v>42675</v>
      </c>
      <c r="C63" s="22">
        <f t="shared" si="5"/>
        <v>51691711.597327881</v>
      </c>
      <c r="D63" s="22">
        <f t="shared" si="1"/>
        <v>183074.81190720294</v>
      </c>
      <c r="E63" s="22">
        <f t="shared" si="2"/>
        <v>87644.236861224461</v>
      </c>
      <c r="F63" s="22">
        <f t="shared" si="3"/>
        <v>51604067.360466659</v>
      </c>
      <c r="G63" s="22">
        <f t="shared" si="6"/>
        <v>7943347.2338432744</v>
      </c>
    </row>
    <row r="64" spans="1:7">
      <c r="A64" s="20">
        <f t="shared" si="4"/>
        <v>43</v>
      </c>
      <c r="B64" s="21">
        <f t="shared" si="0"/>
        <v>42705</v>
      </c>
      <c r="C64" s="22">
        <f t="shared" si="5"/>
        <v>51604067.360466659</v>
      </c>
      <c r="D64" s="22">
        <f t="shared" si="1"/>
        <v>182764.4052349861</v>
      </c>
      <c r="E64" s="22">
        <f t="shared" si="2"/>
        <v>87954.643533441296</v>
      </c>
      <c r="F64" s="22">
        <f t="shared" si="3"/>
        <v>51516112.716933221</v>
      </c>
      <c r="G64" s="22">
        <f t="shared" si="6"/>
        <v>8126111.6390782604</v>
      </c>
    </row>
    <row r="65" spans="1:7">
      <c r="A65" s="20">
        <f t="shared" si="4"/>
        <v>44</v>
      </c>
      <c r="B65" s="21">
        <f t="shared" si="0"/>
        <v>42736</v>
      </c>
      <c r="C65" s="22">
        <f t="shared" si="5"/>
        <v>51516112.716933221</v>
      </c>
      <c r="D65" s="22">
        <f t="shared" si="1"/>
        <v>182452.89920580518</v>
      </c>
      <c r="E65" s="22">
        <f t="shared" si="2"/>
        <v>88266.149562622217</v>
      </c>
      <c r="F65" s="22">
        <f t="shared" si="3"/>
        <v>51427846.567370601</v>
      </c>
      <c r="G65" s="22">
        <f t="shared" si="6"/>
        <v>8308564.5382840652</v>
      </c>
    </row>
    <row r="66" spans="1:7">
      <c r="A66" s="20">
        <f t="shared" si="4"/>
        <v>45</v>
      </c>
      <c r="B66" s="21">
        <f t="shared" si="0"/>
        <v>42767</v>
      </c>
      <c r="C66" s="22">
        <f t="shared" si="5"/>
        <v>51427846.567370601</v>
      </c>
      <c r="D66" s="22">
        <f t="shared" si="1"/>
        <v>182140.28992610422</v>
      </c>
      <c r="E66" s="22">
        <f t="shared" si="2"/>
        <v>88578.758842323179</v>
      </c>
      <c r="F66" s="22">
        <f t="shared" si="3"/>
        <v>51339267.808528274</v>
      </c>
      <c r="G66" s="22">
        <f t="shared" si="6"/>
        <v>8490704.8282101694</v>
      </c>
    </row>
    <row r="67" spans="1:7">
      <c r="A67" s="20">
        <f t="shared" si="4"/>
        <v>46</v>
      </c>
      <c r="B67" s="21">
        <f t="shared" si="0"/>
        <v>42795</v>
      </c>
      <c r="C67" s="22">
        <f t="shared" si="5"/>
        <v>51339267.808528274</v>
      </c>
      <c r="D67" s="22">
        <f t="shared" si="1"/>
        <v>181826.57348853766</v>
      </c>
      <c r="E67" s="22">
        <f t="shared" si="2"/>
        <v>88892.475279889739</v>
      </c>
      <c r="F67" s="22">
        <f t="shared" si="3"/>
        <v>51250375.333248384</v>
      </c>
      <c r="G67" s="22">
        <f t="shared" si="6"/>
        <v>8672531.4016987067</v>
      </c>
    </row>
    <row r="68" spans="1:7">
      <c r="A68" s="20">
        <f t="shared" si="4"/>
        <v>47</v>
      </c>
      <c r="B68" s="21">
        <f t="shared" si="0"/>
        <v>42826</v>
      </c>
      <c r="C68" s="22">
        <f t="shared" si="5"/>
        <v>51250375.333248384</v>
      </c>
      <c r="D68" s="22">
        <f t="shared" si="1"/>
        <v>181511.74597192137</v>
      </c>
      <c r="E68" s="22">
        <f t="shared" si="2"/>
        <v>89207.302796506032</v>
      </c>
      <c r="F68" s="22">
        <f t="shared" si="3"/>
        <v>51161168.030451879</v>
      </c>
      <c r="G68" s="22">
        <f t="shared" si="6"/>
        <v>8854043.1476706285</v>
      </c>
    </row>
    <row r="69" spans="1:7">
      <c r="A69" s="20">
        <f t="shared" si="4"/>
        <v>48</v>
      </c>
      <c r="B69" s="21">
        <f t="shared" si="0"/>
        <v>42856</v>
      </c>
      <c r="C69" s="22">
        <f t="shared" si="5"/>
        <v>51161168.030451879</v>
      </c>
      <c r="D69" s="22">
        <f t="shared" si="1"/>
        <v>181195.80344118376</v>
      </c>
      <c r="E69" s="22">
        <f t="shared" si="2"/>
        <v>89523.24532724364</v>
      </c>
      <c r="F69" s="22">
        <f t="shared" si="3"/>
        <v>51071644.785124637</v>
      </c>
      <c r="G69" s="22">
        <f t="shared" si="6"/>
        <v>9035238.9511118121</v>
      </c>
    </row>
    <row r="70" spans="1:7">
      <c r="A70" s="20">
        <f t="shared" si="4"/>
        <v>49</v>
      </c>
      <c r="B70" s="21">
        <f t="shared" si="0"/>
        <v>42887</v>
      </c>
      <c r="C70" s="22">
        <f t="shared" si="5"/>
        <v>51071644.785124637</v>
      </c>
      <c r="D70" s="22">
        <f t="shared" si="1"/>
        <v>180878.74194731645</v>
      </c>
      <c r="E70" s="22">
        <f t="shared" si="2"/>
        <v>89840.306821110949</v>
      </c>
      <c r="F70" s="22">
        <f t="shared" si="3"/>
        <v>50981804.478303529</v>
      </c>
      <c r="G70" s="22">
        <f t="shared" si="6"/>
        <v>9216117.6930591278</v>
      </c>
    </row>
    <row r="71" spans="1:7">
      <c r="A71" s="20">
        <f t="shared" si="4"/>
        <v>50</v>
      </c>
      <c r="B71" s="21">
        <f t="shared" si="0"/>
        <v>42917</v>
      </c>
      <c r="C71" s="22">
        <f t="shared" si="5"/>
        <v>50981804.478303529</v>
      </c>
      <c r="D71" s="22">
        <f t="shared" si="1"/>
        <v>180560.557527325</v>
      </c>
      <c r="E71" s="22">
        <f t="shared" si="2"/>
        <v>90158.491241102398</v>
      </c>
      <c r="F71" s="22">
        <f t="shared" si="3"/>
        <v>50891645.987062424</v>
      </c>
      <c r="G71" s="22">
        <f t="shared" si="6"/>
        <v>9396678.250586452</v>
      </c>
    </row>
    <row r="72" spans="1:7">
      <c r="A72" s="20">
        <f t="shared" si="4"/>
        <v>51</v>
      </c>
      <c r="B72" s="21">
        <f t="shared" si="0"/>
        <v>42948</v>
      </c>
      <c r="C72" s="22">
        <f t="shared" si="5"/>
        <v>50891645.987062424</v>
      </c>
      <c r="D72" s="22">
        <f t="shared" si="1"/>
        <v>180241.24620417942</v>
      </c>
      <c r="E72" s="22">
        <f t="shared" si="2"/>
        <v>90477.802564247977</v>
      </c>
      <c r="F72" s="22">
        <f t="shared" si="3"/>
        <v>50801168.184498176</v>
      </c>
      <c r="G72" s="22">
        <f t="shared" si="6"/>
        <v>9576919.4967906307</v>
      </c>
    </row>
    <row r="73" spans="1:7">
      <c r="A73" s="20">
        <f t="shared" si="4"/>
        <v>52</v>
      </c>
      <c r="B73" s="21">
        <f t="shared" si="0"/>
        <v>42979</v>
      </c>
      <c r="C73" s="22">
        <f t="shared" si="5"/>
        <v>50801168.184498176</v>
      </c>
      <c r="D73" s="22">
        <f t="shared" si="1"/>
        <v>179920.8039867644</v>
      </c>
      <c r="E73" s="22">
        <f t="shared" si="2"/>
        <v>90798.244781663001</v>
      </c>
      <c r="F73" s="22">
        <f t="shared" si="3"/>
        <v>50710369.93971651</v>
      </c>
      <c r="G73" s="22">
        <f t="shared" si="6"/>
        <v>9756840.3007773943</v>
      </c>
    </row>
    <row r="74" spans="1:7">
      <c r="A74" s="20">
        <f t="shared" si="4"/>
        <v>53</v>
      </c>
      <c r="B74" s="21">
        <f t="shared" si="0"/>
        <v>43009</v>
      </c>
      <c r="C74" s="22">
        <f t="shared" si="5"/>
        <v>50710369.93971651</v>
      </c>
      <c r="D74" s="22">
        <f t="shared" si="1"/>
        <v>179599.22686982932</v>
      </c>
      <c r="E74" s="22">
        <f t="shared" si="2"/>
        <v>91119.821898598078</v>
      </c>
      <c r="F74" s="22">
        <f t="shared" si="3"/>
        <v>50619250.117817916</v>
      </c>
      <c r="G74" s="22">
        <f t="shared" si="6"/>
        <v>9936439.5276472233</v>
      </c>
    </row>
    <row r="75" spans="1:7">
      <c r="A75" s="20">
        <f t="shared" si="4"/>
        <v>54</v>
      </c>
      <c r="B75" s="21">
        <f t="shared" si="0"/>
        <v>43040</v>
      </c>
      <c r="C75" s="22">
        <f t="shared" si="5"/>
        <v>50619250.117817916</v>
      </c>
      <c r="D75" s="22">
        <f t="shared" si="1"/>
        <v>179276.51083393846</v>
      </c>
      <c r="E75" s="22">
        <f t="shared" si="2"/>
        <v>91442.537934488937</v>
      </c>
      <c r="F75" s="22">
        <f t="shared" si="3"/>
        <v>50527807.579883426</v>
      </c>
      <c r="G75" s="22">
        <f t="shared" si="6"/>
        <v>10115716.038481161</v>
      </c>
    </row>
    <row r="76" spans="1:7">
      <c r="A76" s="20">
        <f t="shared" si="4"/>
        <v>55</v>
      </c>
      <c r="B76" s="21">
        <f t="shared" si="0"/>
        <v>43070</v>
      </c>
      <c r="C76" s="22">
        <f t="shared" si="5"/>
        <v>50527807.579883426</v>
      </c>
      <c r="D76" s="22">
        <f t="shared" si="1"/>
        <v>178952.65184542048</v>
      </c>
      <c r="E76" s="22">
        <f t="shared" si="2"/>
        <v>91766.39692300692</v>
      </c>
      <c r="F76" s="22">
        <f t="shared" si="3"/>
        <v>50436041.182960421</v>
      </c>
      <c r="G76" s="22">
        <f t="shared" si="6"/>
        <v>10294668.690326581</v>
      </c>
    </row>
    <row r="77" spans="1:7">
      <c r="A77" s="20">
        <f t="shared" si="4"/>
        <v>56</v>
      </c>
      <c r="B77" s="21">
        <f t="shared" si="0"/>
        <v>43101</v>
      </c>
      <c r="C77" s="22">
        <f t="shared" si="5"/>
        <v>50436041.182960421</v>
      </c>
      <c r="D77" s="22">
        <f t="shared" si="1"/>
        <v>178627.64585631818</v>
      </c>
      <c r="E77" s="22">
        <f t="shared" si="2"/>
        <v>92091.402912109217</v>
      </c>
      <c r="F77" s="22">
        <f t="shared" si="3"/>
        <v>50343949.780048311</v>
      </c>
      <c r="G77" s="22">
        <f t="shared" si="6"/>
        <v>10473296.3361829</v>
      </c>
    </row>
    <row r="78" spans="1:7">
      <c r="A78" s="20">
        <f t="shared" si="4"/>
        <v>57</v>
      </c>
      <c r="B78" s="21">
        <f t="shared" si="0"/>
        <v>43132</v>
      </c>
      <c r="C78" s="22">
        <f t="shared" si="5"/>
        <v>50343949.780048311</v>
      </c>
      <c r="D78" s="22">
        <f t="shared" si="1"/>
        <v>178301.48880433777</v>
      </c>
      <c r="E78" s="22">
        <f t="shared" si="2"/>
        <v>92417.559964089625</v>
      </c>
      <c r="F78" s="22">
        <f t="shared" si="3"/>
        <v>50251532.22008422</v>
      </c>
      <c r="G78" s="22">
        <f t="shared" si="6"/>
        <v>10651597.824987238</v>
      </c>
    </row>
    <row r="79" spans="1:7">
      <c r="A79" s="20">
        <f t="shared" si="4"/>
        <v>58</v>
      </c>
      <c r="B79" s="21">
        <f t="shared" si="0"/>
        <v>43160</v>
      </c>
      <c r="C79" s="22">
        <f t="shared" si="5"/>
        <v>50251532.22008422</v>
      </c>
      <c r="D79" s="22">
        <f t="shared" si="1"/>
        <v>177974.1766127983</v>
      </c>
      <c r="E79" s="22">
        <f t="shared" si="2"/>
        <v>92744.872155629098</v>
      </c>
      <c r="F79" s="22">
        <f t="shared" si="3"/>
        <v>50158787.347928591</v>
      </c>
      <c r="G79" s="22">
        <f t="shared" si="6"/>
        <v>10829572.001600036</v>
      </c>
    </row>
    <row r="80" spans="1:7">
      <c r="A80" s="20">
        <f t="shared" si="4"/>
        <v>59</v>
      </c>
      <c r="B80" s="21">
        <f t="shared" si="0"/>
        <v>43191</v>
      </c>
      <c r="C80" s="22">
        <f t="shared" si="5"/>
        <v>50158787.347928591</v>
      </c>
      <c r="D80" s="22">
        <f t="shared" si="1"/>
        <v>177645.70519058043</v>
      </c>
      <c r="E80" s="22">
        <f t="shared" si="2"/>
        <v>93073.343577846972</v>
      </c>
      <c r="F80" s="22">
        <f t="shared" si="3"/>
        <v>50065714.004350744</v>
      </c>
      <c r="G80" s="22">
        <f t="shared" si="6"/>
        <v>11007217.706790617</v>
      </c>
    </row>
    <row r="81" spans="1:7">
      <c r="A81" s="20">
        <f t="shared" si="4"/>
        <v>60</v>
      </c>
      <c r="B81" s="21">
        <f t="shared" si="0"/>
        <v>43221</v>
      </c>
      <c r="C81" s="22">
        <f t="shared" si="5"/>
        <v>50065714.004350744</v>
      </c>
      <c r="D81" s="22">
        <f t="shared" si="1"/>
        <v>177316.07043207556</v>
      </c>
      <c r="E81" s="22">
        <f t="shared" si="2"/>
        <v>93402.978336351836</v>
      </c>
      <c r="F81" s="22">
        <f t="shared" si="3"/>
        <v>49972311.026014395</v>
      </c>
      <c r="G81" s="22">
        <f t="shared" si="6"/>
        <v>11184533.777222693</v>
      </c>
    </row>
    <row r="82" spans="1:7">
      <c r="A82" s="20">
        <f t="shared" si="4"/>
        <v>61</v>
      </c>
      <c r="B82" s="21">
        <f t="shared" si="0"/>
        <v>43252</v>
      </c>
      <c r="C82" s="22">
        <f t="shared" si="5"/>
        <v>49972311.026014395</v>
      </c>
      <c r="D82" s="22">
        <f t="shared" si="1"/>
        <v>176985.26821713432</v>
      </c>
      <c r="E82" s="22">
        <f t="shared" si="2"/>
        <v>93733.780551293079</v>
      </c>
      <c r="F82" s="22">
        <f t="shared" si="3"/>
        <v>49878577.245463103</v>
      </c>
      <c r="G82" s="22">
        <f t="shared" si="6"/>
        <v>11361519.045439828</v>
      </c>
    </row>
    <row r="83" spans="1:7">
      <c r="A83" s="20">
        <f t="shared" si="4"/>
        <v>62</v>
      </c>
      <c r="B83" s="21">
        <f t="shared" si="0"/>
        <v>43282</v>
      </c>
      <c r="C83" s="22">
        <f t="shared" si="5"/>
        <v>49878577.245463103</v>
      </c>
      <c r="D83" s="22">
        <f t="shared" si="1"/>
        <v>176653.29441101517</v>
      </c>
      <c r="E83" s="22">
        <f t="shared" si="2"/>
        <v>94065.754357412225</v>
      </c>
      <c r="F83" s="22">
        <f t="shared" si="3"/>
        <v>49784511.491105691</v>
      </c>
      <c r="G83" s="22">
        <f t="shared" si="6"/>
        <v>11538172.339850843</v>
      </c>
    </row>
    <row r="84" spans="1:7">
      <c r="A84" s="20">
        <f t="shared" si="4"/>
        <v>63</v>
      </c>
      <c r="B84" s="21">
        <f t="shared" si="0"/>
        <v>43313</v>
      </c>
      <c r="C84" s="22">
        <f t="shared" si="5"/>
        <v>49784511.491105691</v>
      </c>
      <c r="D84" s="22">
        <f t="shared" si="1"/>
        <v>176320.14486433266</v>
      </c>
      <c r="E84" s="22">
        <f t="shared" si="2"/>
        <v>94398.903904094739</v>
      </c>
      <c r="F84" s="22">
        <f t="shared" si="3"/>
        <v>49690112.587201595</v>
      </c>
      <c r="G84" s="22">
        <f t="shared" si="6"/>
        <v>11714492.484715175</v>
      </c>
    </row>
    <row r="85" spans="1:7">
      <c r="A85" s="20">
        <f t="shared" si="4"/>
        <v>64</v>
      </c>
      <c r="B85" s="21">
        <f t="shared" si="0"/>
        <v>43344</v>
      </c>
      <c r="C85" s="22">
        <f t="shared" si="5"/>
        <v>49690112.587201595</v>
      </c>
      <c r="D85" s="22">
        <f t="shared" si="1"/>
        <v>175985.81541300565</v>
      </c>
      <c r="E85" s="22">
        <f t="shared" si="2"/>
        <v>94733.233355421748</v>
      </c>
      <c r="F85" s="22">
        <f t="shared" si="3"/>
        <v>49595379.35384617</v>
      </c>
      <c r="G85" s="22">
        <f t="shared" si="6"/>
        <v>11890478.300128181</v>
      </c>
    </row>
    <row r="86" spans="1:7">
      <c r="A86" s="20">
        <f t="shared" si="4"/>
        <v>65</v>
      </c>
      <c r="B86" s="21">
        <f t="shared" ref="B86:B149" si="7">Show.Date</f>
        <v>43374</v>
      </c>
      <c r="C86" s="22">
        <f t="shared" si="5"/>
        <v>49595379.35384617</v>
      </c>
      <c r="D86" s="22">
        <f t="shared" ref="D86:D149" si="8">Interest</f>
        <v>175650.30187820521</v>
      </c>
      <c r="E86" s="22">
        <f t="shared" ref="E86:E149" si="9">Principal+H86</f>
        <v>95068.746890222188</v>
      </c>
      <c r="F86" s="22">
        <f t="shared" ref="F86:F149" si="10">Ending.Balance</f>
        <v>49500310.606955945</v>
      </c>
      <c r="G86" s="22">
        <f t="shared" si="6"/>
        <v>12066128.602006385</v>
      </c>
    </row>
    <row r="87" spans="1:7">
      <c r="A87" s="20">
        <f t="shared" ref="A87:A150" si="11">payment.Num</f>
        <v>66</v>
      </c>
      <c r="B87" s="21">
        <f t="shared" si="7"/>
        <v>43405</v>
      </c>
      <c r="C87" s="22">
        <f t="shared" ref="C87:C150" si="12">Beg.Bal</f>
        <v>49500310.606955945</v>
      </c>
      <c r="D87" s="22">
        <f t="shared" si="8"/>
        <v>175313.60006630232</v>
      </c>
      <c r="E87" s="22">
        <f t="shared" si="9"/>
        <v>95405.448702125082</v>
      </c>
      <c r="F87" s="22">
        <f t="shared" si="10"/>
        <v>49404905.158253819</v>
      </c>
      <c r="G87" s="22">
        <f t="shared" ref="G87:G150" si="13">Cum.Interest</f>
        <v>12241442.202072687</v>
      </c>
    </row>
    <row r="88" spans="1:7">
      <c r="A88" s="20">
        <f t="shared" si="11"/>
        <v>67</v>
      </c>
      <c r="B88" s="21">
        <f t="shared" si="7"/>
        <v>43435</v>
      </c>
      <c r="C88" s="22">
        <f t="shared" si="12"/>
        <v>49404905.158253819</v>
      </c>
      <c r="D88" s="22">
        <f t="shared" si="8"/>
        <v>174975.70576881562</v>
      </c>
      <c r="E88" s="22">
        <f t="shared" si="9"/>
        <v>95743.342999611777</v>
      </c>
      <c r="F88" s="22">
        <f t="shared" si="10"/>
        <v>49309161.815254204</v>
      </c>
      <c r="G88" s="22">
        <f t="shared" si="13"/>
        <v>12416417.907841504</v>
      </c>
    </row>
    <row r="89" spans="1:7">
      <c r="A89" s="20">
        <f t="shared" si="11"/>
        <v>68</v>
      </c>
      <c r="B89" s="21">
        <f t="shared" si="7"/>
        <v>43466</v>
      </c>
      <c r="C89" s="22">
        <f t="shared" si="12"/>
        <v>49309161.815254204</v>
      </c>
      <c r="D89" s="22">
        <f t="shared" si="8"/>
        <v>174636.61476235866</v>
      </c>
      <c r="E89" s="22">
        <f t="shared" si="9"/>
        <v>96082.434006068739</v>
      </c>
      <c r="F89" s="22">
        <f t="shared" si="10"/>
        <v>49213079.381248139</v>
      </c>
      <c r="G89" s="22">
        <f t="shared" si="13"/>
        <v>12591054.522603862</v>
      </c>
    </row>
    <row r="90" spans="1:7">
      <c r="A90" s="20">
        <f t="shared" si="11"/>
        <v>69</v>
      </c>
      <c r="B90" s="21">
        <f t="shared" si="7"/>
        <v>43497</v>
      </c>
      <c r="C90" s="22">
        <f t="shared" si="12"/>
        <v>49213079.381248139</v>
      </c>
      <c r="D90" s="22">
        <f t="shared" si="8"/>
        <v>174296.32280858717</v>
      </c>
      <c r="E90" s="22">
        <f t="shared" si="9"/>
        <v>96422.725959840231</v>
      </c>
      <c r="F90" s="22">
        <f t="shared" si="10"/>
        <v>49116656.655288301</v>
      </c>
      <c r="G90" s="22">
        <f t="shared" si="13"/>
        <v>12765350.84541245</v>
      </c>
    </row>
    <row r="91" spans="1:7">
      <c r="A91" s="20">
        <f t="shared" si="11"/>
        <v>70</v>
      </c>
      <c r="B91" s="21">
        <f t="shared" si="7"/>
        <v>43525</v>
      </c>
      <c r="C91" s="22">
        <f t="shared" si="12"/>
        <v>49116656.655288301</v>
      </c>
      <c r="D91" s="22">
        <f t="shared" si="8"/>
        <v>173954.82565414609</v>
      </c>
      <c r="E91" s="22">
        <f t="shared" si="9"/>
        <v>96764.223114281311</v>
      </c>
      <c r="F91" s="22">
        <f t="shared" si="10"/>
        <v>49019892.43217402</v>
      </c>
      <c r="G91" s="22">
        <f t="shared" si="13"/>
        <v>12939305.671066595</v>
      </c>
    </row>
    <row r="92" spans="1:7">
      <c r="A92" s="20">
        <f t="shared" si="11"/>
        <v>71</v>
      </c>
      <c r="B92" s="21">
        <f t="shared" si="7"/>
        <v>43556</v>
      </c>
      <c r="C92" s="22">
        <f t="shared" si="12"/>
        <v>49019892.43217402</v>
      </c>
      <c r="D92" s="22">
        <f t="shared" si="8"/>
        <v>173612.11903061633</v>
      </c>
      <c r="E92" s="22">
        <f t="shared" si="9"/>
        <v>97106.929737811064</v>
      </c>
      <c r="F92" s="22">
        <f t="shared" si="10"/>
        <v>48922785.502436206</v>
      </c>
      <c r="G92" s="22">
        <f t="shared" si="13"/>
        <v>13112917.790097212</v>
      </c>
    </row>
    <row r="93" spans="1:7">
      <c r="A93" s="20">
        <f t="shared" si="11"/>
        <v>72</v>
      </c>
      <c r="B93" s="21">
        <f t="shared" si="7"/>
        <v>43586</v>
      </c>
      <c r="C93" s="22">
        <f t="shared" si="12"/>
        <v>48922785.502436206</v>
      </c>
      <c r="D93" s="22">
        <f t="shared" si="8"/>
        <v>173268.19865446156</v>
      </c>
      <c r="E93" s="22">
        <f t="shared" si="9"/>
        <v>97450.850113965833</v>
      </c>
      <c r="F93" s="22">
        <f t="shared" si="10"/>
        <v>48825334.65232224</v>
      </c>
      <c r="G93" s="22">
        <f t="shared" si="13"/>
        <v>13286185.988751674</v>
      </c>
    </row>
    <row r="94" spans="1:7">
      <c r="A94" s="20">
        <f t="shared" si="11"/>
        <v>73</v>
      </c>
      <c r="B94" s="21">
        <f t="shared" si="7"/>
        <v>43617</v>
      </c>
      <c r="C94" s="22">
        <f t="shared" si="12"/>
        <v>48825334.65232224</v>
      </c>
      <c r="D94" s="22">
        <f t="shared" si="8"/>
        <v>172923.0602269746</v>
      </c>
      <c r="E94" s="22">
        <f t="shared" si="9"/>
        <v>97795.988541452796</v>
      </c>
      <c r="F94" s="22">
        <f t="shared" si="10"/>
        <v>48727538.663780786</v>
      </c>
      <c r="G94" s="22">
        <f t="shared" si="13"/>
        <v>13459109.048978649</v>
      </c>
    </row>
    <row r="95" spans="1:7">
      <c r="A95" s="20">
        <f t="shared" si="11"/>
        <v>74</v>
      </c>
      <c r="B95" s="21">
        <f t="shared" si="7"/>
        <v>43647</v>
      </c>
      <c r="C95" s="22">
        <f t="shared" si="12"/>
        <v>48727538.663780786</v>
      </c>
      <c r="D95" s="22">
        <f t="shared" si="8"/>
        <v>172576.69943422364</v>
      </c>
      <c r="E95" s="22">
        <f t="shared" si="9"/>
        <v>98142.349334203755</v>
      </c>
      <c r="F95" s="22">
        <f t="shared" si="10"/>
        <v>48629396.314446583</v>
      </c>
      <c r="G95" s="22">
        <f t="shared" si="13"/>
        <v>13631685.748412874</v>
      </c>
    </row>
    <row r="96" spans="1:7">
      <c r="A96" s="20">
        <f t="shared" si="11"/>
        <v>75</v>
      </c>
      <c r="B96" s="21">
        <f t="shared" si="7"/>
        <v>43678</v>
      </c>
      <c r="C96" s="22">
        <f t="shared" si="12"/>
        <v>48629396.314446583</v>
      </c>
      <c r="D96" s="22">
        <f t="shared" si="8"/>
        <v>172229.11194699834</v>
      </c>
      <c r="E96" s="22">
        <f t="shared" si="9"/>
        <v>98489.936821429059</v>
      </c>
      <c r="F96" s="22">
        <f t="shared" si="10"/>
        <v>48530906.377625152</v>
      </c>
      <c r="G96" s="22">
        <f t="shared" si="13"/>
        <v>13803914.860359872</v>
      </c>
    </row>
    <row r="97" spans="1:7">
      <c r="A97" s="20">
        <f t="shared" si="11"/>
        <v>76</v>
      </c>
      <c r="B97" s="21">
        <f t="shared" si="7"/>
        <v>43709</v>
      </c>
      <c r="C97" s="22">
        <f t="shared" si="12"/>
        <v>48530906.377625152</v>
      </c>
      <c r="D97" s="22">
        <f t="shared" si="8"/>
        <v>171880.29342075577</v>
      </c>
      <c r="E97" s="22">
        <f t="shared" si="9"/>
        <v>98838.755347671628</v>
      </c>
      <c r="F97" s="22">
        <f t="shared" si="10"/>
        <v>48432067.622277483</v>
      </c>
      <c r="G97" s="22">
        <f t="shared" si="13"/>
        <v>13975795.153780628</v>
      </c>
    </row>
    <row r="98" spans="1:7">
      <c r="A98" s="20">
        <f t="shared" si="11"/>
        <v>77</v>
      </c>
      <c r="B98" s="21">
        <f t="shared" si="7"/>
        <v>43739</v>
      </c>
      <c r="C98" s="22">
        <f t="shared" si="12"/>
        <v>48432067.622277483</v>
      </c>
      <c r="D98" s="22">
        <f t="shared" si="8"/>
        <v>171530.23949556609</v>
      </c>
      <c r="E98" s="22">
        <f t="shared" si="9"/>
        <v>99188.809272861312</v>
      </c>
      <c r="F98" s="22">
        <f t="shared" si="10"/>
        <v>48332878.81300462</v>
      </c>
      <c r="G98" s="22">
        <f t="shared" si="13"/>
        <v>14147325.393276194</v>
      </c>
    </row>
    <row r="99" spans="1:7">
      <c r="A99" s="20">
        <f t="shared" si="11"/>
        <v>78</v>
      </c>
      <c r="B99" s="21">
        <f t="shared" si="7"/>
        <v>43770</v>
      </c>
      <c r="C99" s="22">
        <f t="shared" si="12"/>
        <v>48332878.81300462</v>
      </c>
      <c r="D99" s="22">
        <f t="shared" si="8"/>
        <v>171178.94579605805</v>
      </c>
      <c r="E99" s="22">
        <f t="shared" si="9"/>
        <v>99540.10297236935</v>
      </c>
      <c r="F99" s="22">
        <f t="shared" si="10"/>
        <v>48233338.710032254</v>
      </c>
      <c r="G99" s="22">
        <f t="shared" si="13"/>
        <v>14318504.339072252</v>
      </c>
    </row>
    <row r="100" spans="1:7">
      <c r="A100" s="20">
        <f t="shared" si="11"/>
        <v>79</v>
      </c>
      <c r="B100" s="21">
        <f t="shared" si="7"/>
        <v>43800</v>
      </c>
      <c r="C100" s="22">
        <f t="shared" si="12"/>
        <v>48233338.710032254</v>
      </c>
      <c r="D100" s="22">
        <f t="shared" si="8"/>
        <v>170826.40793136426</v>
      </c>
      <c r="E100" s="22">
        <f t="shared" si="9"/>
        <v>99892.64083706314</v>
      </c>
      <c r="F100" s="22">
        <f t="shared" si="10"/>
        <v>48133446.069195189</v>
      </c>
      <c r="G100" s="22">
        <f t="shared" si="13"/>
        <v>14489330.747003617</v>
      </c>
    </row>
    <row r="101" spans="1:7">
      <c r="A101" s="20">
        <f t="shared" si="11"/>
        <v>80</v>
      </c>
      <c r="B101" s="21">
        <f t="shared" si="7"/>
        <v>43831</v>
      </c>
      <c r="C101" s="22">
        <f t="shared" si="12"/>
        <v>48133446.069195189</v>
      </c>
      <c r="D101" s="22">
        <f t="shared" si="8"/>
        <v>170472.6214950663</v>
      </c>
      <c r="E101" s="22">
        <f t="shared" si="9"/>
        <v>100246.4272733611</v>
      </c>
      <c r="F101" s="22">
        <f t="shared" si="10"/>
        <v>48033199.641921826</v>
      </c>
      <c r="G101" s="22">
        <f t="shared" si="13"/>
        <v>14659803.368498683</v>
      </c>
    </row>
    <row r="102" spans="1:7">
      <c r="A102" s="20">
        <f t="shared" si="11"/>
        <v>81</v>
      </c>
      <c r="B102" s="21">
        <f t="shared" si="7"/>
        <v>43862</v>
      </c>
      <c r="C102" s="22">
        <f t="shared" si="12"/>
        <v>48033199.641921826</v>
      </c>
      <c r="D102" s="22">
        <f t="shared" si="8"/>
        <v>170117.58206513981</v>
      </c>
      <c r="E102" s="22">
        <f t="shared" si="9"/>
        <v>100601.46670328759</v>
      </c>
      <c r="F102" s="22">
        <f t="shared" si="10"/>
        <v>47932598.175218537</v>
      </c>
      <c r="G102" s="22">
        <f t="shared" si="13"/>
        <v>14829920.950563822</v>
      </c>
    </row>
    <row r="103" spans="1:7">
      <c r="A103" s="20">
        <f t="shared" si="11"/>
        <v>82</v>
      </c>
      <c r="B103" s="21">
        <f t="shared" si="7"/>
        <v>43891</v>
      </c>
      <c r="C103" s="22">
        <f t="shared" si="12"/>
        <v>47932598.175218537</v>
      </c>
      <c r="D103" s="22">
        <f t="shared" si="8"/>
        <v>169761.28520389899</v>
      </c>
      <c r="E103" s="22">
        <f t="shared" si="9"/>
        <v>100957.7635645284</v>
      </c>
      <c r="F103" s="22">
        <f t="shared" si="10"/>
        <v>47831640.41165401</v>
      </c>
      <c r="G103" s="22">
        <f t="shared" si="13"/>
        <v>14999682.23576772</v>
      </c>
    </row>
    <row r="104" spans="1:7">
      <c r="A104" s="20">
        <f t="shared" si="11"/>
        <v>83</v>
      </c>
      <c r="B104" s="21">
        <f t="shared" si="7"/>
        <v>43922</v>
      </c>
      <c r="C104" s="22">
        <f t="shared" si="12"/>
        <v>47831640.41165401</v>
      </c>
      <c r="D104" s="22">
        <f t="shared" si="8"/>
        <v>169403.72645794129</v>
      </c>
      <c r="E104" s="22">
        <f t="shared" si="9"/>
        <v>101315.32231048611</v>
      </c>
      <c r="F104" s="22">
        <f t="shared" si="10"/>
        <v>47730325.089343525</v>
      </c>
      <c r="G104" s="22">
        <f t="shared" si="13"/>
        <v>15169085.962225661</v>
      </c>
    </row>
    <row r="105" spans="1:7">
      <c r="A105" s="20">
        <f t="shared" si="11"/>
        <v>84</v>
      </c>
      <c r="B105" s="21">
        <f t="shared" si="7"/>
        <v>43952</v>
      </c>
      <c r="C105" s="22">
        <f t="shared" si="12"/>
        <v>47730325.089343525</v>
      </c>
      <c r="D105" s="22">
        <f t="shared" si="8"/>
        <v>169044.90135809165</v>
      </c>
      <c r="E105" s="22">
        <f t="shared" si="9"/>
        <v>101674.14741033575</v>
      </c>
      <c r="F105" s="22">
        <f t="shared" si="10"/>
        <v>47628650.941933192</v>
      </c>
      <c r="G105" s="22">
        <f t="shared" si="13"/>
        <v>15338130.863583753</v>
      </c>
    </row>
    <row r="106" spans="1:7">
      <c r="A106" s="20">
        <f t="shared" si="11"/>
        <v>85</v>
      </c>
      <c r="B106" s="21">
        <f t="shared" si="7"/>
        <v>43983</v>
      </c>
      <c r="C106" s="22">
        <f t="shared" si="12"/>
        <v>47628650.941933192</v>
      </c>
      <c r="D106" s="22">
        <f t="shared" si="8"/>
        <v>168684.80541934673</v>
      </c>
      <c r="E106" s="22">
        <f t="shared" si="9"/>
        <v>102034.24334908067</v>
      </c>
      <c r="F106" s="22">
        <f t="shared" si="10"/>
        <v>47526616.69858411</v>
      </c>
      <c r="G106" s="22">
        <f t="shared" si="13"/>
        <v>15506815.669003099</v>
      </c>
    </row>
    <row r="107" spans="1:7">
      <c r="A107" s="20">
        <f t="shared" si="11"/>
        <v>86</v>
      </c>
      <c r="B107" s="21">
        <f t="shared" si="7"/>
        <v>44013</v>
      </c>
      <c r="C107" s="22">
        <f t="shared" si="12"/>
        <v>47526616.69858411</v>
      </c>
      <c r="D107" s="22">
        <f t="shared" si="8"/>
        <v>168323.43414081875</v>
      </c>
      <c r="E107" s="22">
        <f t="shared" si="9"/>
        <v>102395.61462760865</v>
      </c>
      <c r="F107" s="22">
        <f t="shared" si="10"/>
        <v>47424221.083956502</v>
      </c>
      <c r="G107" s="22">
        <f t="shared" si="13"/>
        <v>15675139.103143917</v>
      </c>
    </row>
    <row r="108" spans="1:7">
      <c r="A108" s="20">
        <f t="shared" si="11"/>
        <v>87</v>
      </c>
      <c r="B108" s="21">
        <f t="shared" si="7"/>
        <v>44044</v>
      </c>
      <c r="C108" s="22">
        <f t="shared" si="12"/>
        <v>47424221.083956502</v>
      </c>
      <c r="D108" s="22">
        <f t="shared" si="8"/>
        <v>167960.78300567929</v>
      </c>
      <c r="E108" s="22">
        <f t="shared" si="9"/>
        <v>102758.26576274811</v>
      </c>
      <c r="F108" s="22">
        <f t="shared" si="10"/>
        <v>47321462.818193756</v>
      </c>
      <c r="G108" s="22">
        <f t="shared" si="13"/>
        <v>15843099.886149596</v>
      </c>
    </row>
    <row r="109" spans="1:7">
      <c r="A109" s="20">
        <f t="shared" si="11"/>
        <v>88</v>
      </c>
      <c r="B109" s="21">
        <f t="shared" si="7"/>
        <v>44075</v>
      </c>
      <c r="C109" s="22">
        <f t="shared" si="12"/>
        <v>47321462.818193756</v>
      </c>
      <c r="D109" s="22">
        <f t="shared" si="8"/>
        <v>167596.84748110289</v>
      </c>
      <c r="E109" s="22">
        <f t="shared" si="9"/>
        <v>103122.20128732451</v>
      </c>
      <c r="F109" s="22">
        <f t="shared" si="10"/>
        <v>47218340.616906434</v>
      </c>
      <c r="G109" s="22">
        <f t="shared" si="13"/>
        <v>16010696.7336307</v>
      </c>
    </row>
    <row r="110" spans="1:7">
      <c r="A110" s="20">
        <f t="shared" si="11"/>
        <v>89</v>
      </c>
      <c r="B110" s="21">
        <f t="shared" si="7"/>
        <v>44105</v>
      </c>
      <c r="C110" s="22">
        <f t="shared" si="12"/>
        <v>47218340.616906434</v>
      </c>
      <c r="D110" s="22">
        <f t="shared" si="8"/>
        <v>167231.62301821029</v>
      </c>
      <c r="E110" s="22">
        <f t="shared" si="9"/>
        <v>103487.42575021711</v>
      </c>
      <c r="F110" s="22">
        <f t="shared" si="10"/>
        <v>47114853.191156216</v>
      </c>
      <c r="G110" s="22">
        <f t="shared" si="13"/>
        <v>16177928.356648911</v>
      </c>
    </row>
    <row r="111" spans="1:7">
      <c r="A111" s="20">
        <f t="shared" si="11"/>
        <v>90</v>
      </c>
      <c r="B111" s="21">
        <f t="shared" si="7"/>
        <v>44136</v>
      </c>
      <c r="C111" s="22">
        <f t="shared" si="12"/>
        <v>47114853.191156216</v>
      </c>
      <c r="D111" s="22">
        <f t="shared" si="8"/>
        <v>166865.10505201161</v>
      </c>
      <c r="E111" s="22">
        <f t="shared" si="9"/>
        <v>103853.94371641579</v>
      </c>
      <c r="F111" s="22">
        <f t="shared" si="10"/>
        <v>47010999.247439802</v>
      </c>
      <c r="G111" s="22">
        <f t="shared" si="13"/>
        <v>16344793.461700922</v>
      </c>
    </row>
    <row r="112" spans="1:7">
      <c r="A112" s="20">
        <f t="shared" si="11"/>
        <v>91</v>
      </c>
      <c r="B112" s="21">
        <f t="shared" si="7"/>
        <v>44166</v>
      </c>
      <c r="C112" s="22">
        <f t="shared" si="12"/>
        <v>47010999.247439802</v>
      </c>
      <c r="D112" s="22">
        <f t="shared" si="8"/>
        <v>166497.2890013493</v>
      </c>
      <c r="E112" s="22">
        <f t="shared" si="9"/>
        <v>104221.7597670781</v>
      </c>
      <c r="F112" s="22">
        <f t="shared" si="10"/>
        <v>46906777.487672724</v>
      </c>
      <c r="G112" s="22">
        <f t="shared" si="13"/>
        <v>16511290.750702271</v>
      </c>
    </row>
    <row r="113" spans="1:7">
      <c r="A113" s="20">
        <f t="shared" si="11"/>
        <v>92</v>
      </c>
      <c r="B113" s="21">
        <f t="shared" si="7"/>
        <v>44197</v>
      </c>
      <c r="C113" s="22">
        <f t="shared" si="12"/>
        <v>46906777.487672724</v>
      </c>
      <c r="D113" s="22">
        <f t="shared" si="8"/>
        <v>166128.17026884091</v>
      </c>
      <c r="E113" s="22">
        <f t="shared" si="9"/>
        <v>104590.87849958648</v>
      </c>
      <c r="F113" s="22">
        <f t="shared" si="10"/>
        <v>46802186.609173134</v>
      </c>
      <c r="G113" s="22">
        <f t="shared" si="13"/>
        <v>16677418.920971112</v>
      </c>
    </row>
    <row r="114" spans="1:7">
      <c r="A114" s="20">
        <f t="shared" si="11"/>
        <v>93</v>
      </c>
      <c r="B114" s="21">
        <f t="shared" si="7"/>
        <v>44228</v>
      </c>
      <c r="C114" s="22">
        <f t="shared" si="12"/>
        <v>46802186.609173134</v>
      </c>
      <c r="D114" s="22">
        <f t="shared" si="8"/>
        <v>165757.74424082151</v>
      </c>
      <c r="E114" s="22">
        <f t="shared" si="9"/>
        <v>104961.30452760588</v>
      </c>
      <c r="F114" s="22">
        <f t="shared" si="10"/>
        <v>46697225.304645531</v>
      </c>
      <c r="G114" s="22">
        <f t="shared" si="13"/>
        <v>16843176.665211935</v>
      </c>
    </row>
    <row r="115" spans="1:7">
      <c r="A115" s="20">
        <f t="shared" si="11"/>
        <v>94</v>
      </c>
      <c r="B115" s="21">
        <f t="shared" si="7"/>
        <v>44256</v>
      </c>
      <c r="C115" s="22">
        <f t="shared" si="12"/>
        <v>46697225.304645531</v>
      </c>
      <c r="D115" s="22">
        <f t="shared" si="8"/>
        <v>165386.00628728626</v>
      </c>
      <c r="E115" s="22">
        <f t="shared" si="9"/>
        <v>105333.04248114114</v>
      </c>
      <c r="F115" s="22">
        <f t="shared" si="10"/>
        <v>46591892.262164392</v>
      </c>
      <c r="G115" s="22">
        <f t="shared" si="13"/>
        <v>17008562.671499223</v>
      </c>
    </row>
    <row r="116" spans="1:7">
      <c r="A116" s="20">
        <f t="shared" si="11"/>
        <v>95</v>
      </c>
      <c r="B116" s="21">
        <f t="shared" si="7"/>
        <v>44287</v>
      </c>
      <c r="C116" s="22">
        <f t="shared" si="12"/>
        <v>46591892.262164392</v>
      </c>
      <c r="D116" s="22">
        <f t="shared" si="8"/>
        <v>165012.95176183223</v>
      </c>
      <c r="E116" s="22">
        <f t="shared" si="9"/>
        <v>105706.09700659517</v>
      </c>
      <c r="F116" s="22">
        <f t="shared" si="10"/>
        <v>46486186.165157795</v>
      </c>
      <c r="G116" s="22">
        <f t="shared" si="13"/>
        <v>17173575.623261053</v>
      </c>
    </row>
    <row r="117" spans="1:7">
      <c r="A117" s="20">
        <f t="shared" si="11"/>
        <v>96</v>
      </c>
      <c r="B117" s="21">
        <f t="shared" si="7"/>
        <v>44317</v>
      </c>
      <c r="C117" s="22">
        <f t="shared" si="12"/>
        <v>46486186.165157795</v>
      </c>
      <c r="D117" s="22">
        <f t="shared" si="8"/>
        <v>164638.57600160054</v>
      </c>
      <c r="E117" s="22">
        <f t="shared" si="9"/>
        <v>106080.47276682686</v>
      </c>
      <c r="F117" s="22">
        <f t="shared" si="10"/>
        <v>46380105.692390971</v>
      </c>
      <c r="G117" s="22">
        <f t="shared" si="13"/>
        <v>17338214.199262653</v>
      </c>
    </row>
    <row r="118" spans="1:7">
      <c r="A118" s="20">
        <f t="shared" si="11"/>
        <v>97</v>
      </c>
      <c r="B118" s="21">
        <f t="shared" si="7"/>
        <v>44348</v>
      </c>
      <c r="C118" s="22">
        <f t="shared" si="12"/>
        <v>46380105.692390971</v>
      </c>
      <c r="D118" s="22">
        <f t="shared" si="8"/>
        <v>164262.87432721804</v>
      </c>
      <c r="E118" s="22">
        <f t="shared" si="9"/>
        <v>106456.17444120935</v>
      </c>
      <c r="F118" s="22">
        <f t="shared" si="10"/>
        <v>46273649.51794976</v>
      </c>
      <c r="G118" s="22">
        <f t="shared" si="13"/>
        <v>17502477.073589869</v>
      </c>
    </row>
    <row r="119" spans="1:7">
      <c r="A119" s="20">
        <f t="shared" si="11"/>
        <v>98</v>
      </c>
      <c r="B119" s="21">
        <f t="shared" si="7"/>
        <v>44378</v>
      </c>
      <c r="C119" s="22">
        <f t="shared" si="12"/>
        <v>46273649.51794976</v>
      </c>
      <c r="D119" s="22">
        <f t="shared" si="8"/>
        <v>163885.84204273875</v>
      </c>
      <c r="E119" s="22">
        <f t="shared" si="9"/>
        <v>106833.20672568865</v>
      </c>
      <c r="F119" s="22">
        <f t="shared" si="10"/>
        <v>46166816.311224073</v>
      </c>
      <c r="G119" s="22">
        <f t="shared" si="13"/>
        <v>17666362.915632609</v>
      </c>
    </row>
    <row r="120" spans="1:7">
      <c r="A120" s="20">
        <f t="shared" si="11"/>
        <v>99</v>
      </c>
      <c r="B120" s="21">
        <f t="shared" si="7"/>
        <v>44409</v>
      </c>
      <c r="C120" s="22">
        <f t="shared" si="12"/>
        <v>46166816.311224073</v>
      </c>
      <c r="D120" s="22">
        <f t="shared" si="8"/>
        <v>163507.47443558526</v>
      </c>
      <c r="E120" s="22">
        <f t="shared" si="9"/>
        <v>107211.57433284214</v>
      </c>
      <c r="F120" s="22">
        <f t="shared" si="10"/>
        <v>46059604.736891232</v>
      </c>
      <c r="G120" s="22">
        <f t="shared" si="13"/>
        <v>17829870.390068196</v>
      </c>
    </row>
    <row r="121" spans="1:7">
      <c r="A121" s="20">
        <f t="shared" si="11"/>
        <v>100</v>
      </c>
      <c r="B121" s="21">
        <f t="shared" si="7"/>
        <v>44440</v>
      </c>
      <c r="C121" s="22">
        <f t="shared" si="12"/>
        <v>46059604.736891232</v>
      </c>
      <c r="D121" s="22">
        <f t="shared" si="8"/>
        <v>163127.76677648979</v>
      </c>
      <c r="E121" s="22">
        <f t="shared" si="9"/>
        <v>107591.28199193761</v>
      </c>
      <c r="F121" s="22">
        <f t="shared" si="10"/>
        <v>45952013.454899296</v>
      </c>
      <c r="G121" s="22">
        <f t="shared" si="13"/>
        <v>17992998.156844687</v>
      </c>
    </row>
    <row r="122" spans="1:7">
      <c r="A122" s="20">
        <f t="shared" si="11"/>
        <v>101</v>
      </c>
      <c r="B122" s="21">
        <f t="shared" si="7"/>
        <v>44470</v>
      </c>
      <c r="C122" s="22">
        <f t="shared" si="12"/>
        <v>45952013.454899296</v>
      </c>
      <c r="D122" s="22">
        <f t="shared" si="8"/>
        <v>162746.71431943501</v>
      </c>
      <c r="E122" s="22">
        <f t="shared" si="9"/>
        <v>107972.33444899239</v>
      </c>
      <c r="F122" s="22">
        <f t="shared" si="10"/>
        <v>45844041.120450303</v>
      </c>
      <c r="G122" s="22">
        <f t="shared" si="13"/>
        <v>18155744.871164121</v>
      </c>
    </row>
    <row r="123" spans="1:7">
      <c r="A123" s="20">
        <f t="shared" si="11"/>
        <v>102</v>
      </c>
      <c r="B123" s="21">
        <f t="shared" si="7"/>
        <v>44501</v>
      </c>
      <c r="C123" s="22">
        <f t="shared" si="12"/>
        <v>45844041.120450303</v>
      </c>
      <c r="D123" s="22">
        <f t="shared" si="8"/>
        <v>162364.31230159482</v>
      </c>
      <c r="E123" s="22">
        <f t="shared" si="9"/>
        <v>108354.73646683258</v>
      </c>
      <c r="F123" s="22">
        <f t="shared" si="10"/>
        <v>45735686.38398347</v>
      </c>
      <c r="G123" s="22">
        <f t="shared" si="13"/>
        <v>18318109.183465715</v>
      </c>
    </row>
    <row r="124" spans="1:7">
      <c r="A124" s="20">
        <f t="shared" si="11"/>
        <v>103</v>
      </c>
      <c r="B124" s="21">
        <f t="shared" si="7"/>
        <v>44531</v>
      </c>
      <c r="C124" s="22">
        <f t="shared" si="12"/>
        <v>45735686.38398347</v>
      </c>
      <c r="D124" s="22">
        <f t="shared" si="8"/>
        <v>161980.55594327481</v>
      </c>
      <c r="E124" s="22">
        <f t="shared" si="9"/>
        <v>108738.49282515259</v>
      </c>
      <c r="F124" s="22">
        <f t="shared" si="10"/>
        <v>45626947.89115832</v>
      </c>
      <c r="G124" s="22">
        <f t="shared" si="13"/>
        <v>18480089.739408989</v>
      </c>
    </row>
    <row r="125" spans="1:7">
      <c r="A125" s="20">
        <f t="shared" si="11"/>
        <v>104</v>
      </c>
      <c r="B125" s="21">
        <f t="shared" si="7"/>
        <v>44562</v>
      </c>
      <c r="C125" s="22">
        <f t="shared" si="12"/>
        <v>45626947.89115832</v>
      </c>
      <c r="D125" s="22">
        <f t="shared" si="8"/>
        <v>161595.44044785239</v>
      </c>
      <c r="E125" s="22">
        <f t="shared" si="9"/>
        <v>109123.608320575</v>
      </c>
      <c r="F125" s="22">
        <f t="shared" si="10"/>
        <v>45517824.282837749</v>
      </c>
      <c r="G125" s="22">
        <f t="shared" si="13"/>
        <v>18641685.179856841</v>
      </c>
    </row>
    <row r="126" spans="1:7">
      <c r="A126" s="20">
        <f t="shared" si="11"/>
        <v>105</v>
      </c>
      <c r="B126" s="21">
        <f t="shared" si="7"/>
        <v>44593</v>
      </c>
      <c r="C126" s="22">
        <f t="shared" si="12"/>
        <v>45517824.282837749</v>
      </c>
      <c r="D126" s="22">
        <f t="shared" si="8"/>
        <v>161208.96100171705</v>
      </c>
      <c r="E126" s="22">
        <f t="shared" si="9"/>
        <v>109510.08776671035</v>
      </c>
      <c r="F126" s="22">
        <f t="shared" si="10"/>
        <v>45408314.195071042</v>
      </c>
      <c r="G126" s="22">
        <f t="shared" si="13"/>
        <v>18802894.140858557</v>
      </c>
    </row>
    <row r="127" spans="1:7">
      <c r="A127" s="20">
        <f t="shared" si="11"/>
        <v>106</v>
      </c>
      <c r="B127" s="21">
        <f t="shared" si="7"/>
        <v>44621</v>
      </c>
      <c r="C127" s="22">
        <f t="shared" si="12"/>
        <v>45408314.195071042</v>
      </c>
      <c r="D127" s="22">
        <f t="shared" si="8"/>
        <v>160821.11277420996</v>
      </c>
      <c r="E127" s="22">
        <f t="shared" si="9"/>
        <v>109897.93599421743</v>
      </c>
      <c r="F127" s="22">
        <f t="shared" si="10"/>
        <v>45298416.259076826</v>
      </c>
      <c r="G127" s="22">
        <f t="shared" si="13"/>
        <v>18963715.253632765</v>
      </c>
    </row>
    <row r="128" spans="1:7">
      <c r="A128" s="20">
        <f t="shared" si="11"/>
        <v>107</v>
      </c>
      <c r="B128" s="21">
        <f t="shared" si="7"/>
        <v>44652</v>
      </c>
      <c r="C128" s="22">
        <f t="shared" si="12"/>
        <v>45298416.259076826</v>
      </c>
      <c r="D128" s="22">
        <f t="shared" si="8"/>
        <v>160431.89091756378</v>
      </c>
      <c r="E128" s="22">
        <f t="shared" si="9"/>
        <v>110287.15785086362</v>
      </c>
      <c r="F128" s="22">
        <f t="shared" si="10"/>
        <v>45188129.101225965</v>
      </c>
      <c r="G128" s="22">
        <f t="shared" si="13"/>
        <v>19124147.144550327</v>
      </c>
    </row>
    <row r="129" spans="1:14">
      <c r="A129" s="20">
        <f t="shared" si="11"/>
        <v>108</v>
      </c>
      <c r="B129" s="21">
        <f t="shared" si="7"/>
        <v>44682</v>
      </c>
      <c r="C129" s="22">
        <f t="shared" si="12"/>
        <v>45188129.101225965</v>
      </c>
      <c r="D129" s="22">
        <f t="shared" si="8"/>
        <v>160041.29056684198</v>
      </c>
      <c r="E129" s="22">
        <f t="shared" si="9"/>
        <v>110677.75820158541</v>
      </c>
      <c r="F129" s="22">
        <f t="shared" si="10"/>
        <v>45077451.343024381</v>
      </c>
      <c r="G129" s="22">
        <f t="shared" si="13"/>
        <v>19284188.43511717</v>
      </c>
    </row>
    <row r="130" spans="1:14">
      <c r="A130" s="20">
        <f t="shared" si="11"/>
        <v>109</v>
      </c>
      <c r="B130" s="21">
        <f t="shared" si="7"/>
        <v>44713</v>
      </c>
      <c r="C130" s="22">
        <f t="shared" si="12"/>
        <v>45077451.343024381</v>
      </c>
      <c r="D130" s="22">
        <f t="shared" si="8"/>
        <v>159649.30683987803</v>
      </c>
      <c r="E130" s="22">
        <f t="shared" si="9"/>
        <v>111069.74192854937</v>
      </c>
      <c r="F130" s="22">
        <f t="shared" si="10"/>
        <v>44966381.601095833</v>
      </c>
      <c r="G130" s="22">
        <f t="shared" si="13"/>
        <v>19443837.74195705</v>
      </c>
    </row>
    <row r="131" spans="1:14">
      <c r="A131" s="20">
        <f t="shared" si="11"/>
        <v>110</v>
      </c>
      <c r="B131" s="21">
        <f t="shared" si="7"/>
        <v>44743</v>
      </c>
      <c r="C131" s="22">
        <f t="shared" si="12"/>
        <v>44966381.601095833</v>
      </c>
      <c r="D131" s="22">
        <f t="shared" si="8"/>
        <v>159255.93483721442</v>
      </c>
      <c r="E131" s="22">
        <f t="shared" si="9"/>
        <v>111463.11393121298</v>
      </c>
      <c r="F131" s="22">
        <f t="shared" si="10"/>
        <v>44854918.487164617</v>
      </c>
      <c r="G131" s="22">
        <f t="shared" si="13"/>
        <v>19603093.676794264</v>
      </c>
    </row>
    <row r="132" spans="1:14">
      <c r="A132" s="20">
        <f t="shared" si="11"/>
        <v>111</v>
      </c>
      <c r="B132" s="21">
        <f t="shared" si="7"/>
        <v>44774</v>
      </c>
      <c r="C132" s="22">
        <f t="shared" si="12"/>
        <v>44854918.487164617</v>
      </c>
      <c r="D132" s="22">
        <f t="shared" si="8"/>
        <v>158861.16964204135</v>
      </c>
      <c r="E132" s="22">
        <f t="shared" si="9"/>
        <v>111857.87912638605</v>
      </c>
      <c r="F132" s="22">
        <f t="shared" si="10"/>
        <v>44743060.608038232</v>
      </c>
      <c r="G132" s="22">
        <f t="shared" si="13"/>
        <v>19761954.846436307</v>
      </c>
    </row>
    <row r="133" spans="1:14">
      <c r="A133" s="20">
        <f t="shared" si="11"/>
        <v>112</v>
      </c>
      <c r="B133" s="21">
        <f t="shared" si="7"/>
        <v>44805</v>
      </c>
      <c r="C133" s="22">
        <f t="shared" si="12"/>
        <v>44743060.608038232</v>
      </c>
      <c r="D133" s="22">
        <f t="shared" si="8"/>
        <v>158465.00632013541</v>
      </c>
      <c r="E133" s="22">
        <f t="shared" si="9"/>
        <v>112254.04244829199</v>
      </c>
      <c r="F133" s="22">
        <f t="shared" si="10"/>
        <v>44630806.565589942</v>
      </c>
      <c r="G133" s="22">
        <f t="shared" si="13"/>
        <v>19920419.852756441</v>
      </c>
    </row>
    <row r="134" spans="1:14">
      <c r="A134" s="20">
        <f t="shared" si="11"/>
        <v>113</v>
      </c>
      <c r="B134" s="21">
        <f t="shared" si="7"/>
        <v>44835</v>
      </c>
      <c r="C134" s="22">
        <f t="shared" si="12"/>
        <v>44630806.565589942</v>
      </c>
      <c r="D134" s="22">
        <f t="shared" si="8"/>
        <v>158067.43991979773</v>
      </c>
      <c r="E134" s="22">
        <f t="shared" si="9"/>
        <v>112651.60884862966</v>
      </c>
      <c r="F134" s="22">
        <f t="shared" si="10"/>
        <v>44518154.956741311</v>
      </c>
      <c r="G134" s="22">
        <f t="shared" si="13"/>
        <v>20078487.29267624</v>
      </c>
    </row>
    <row r="135" spans="1:14">
      <c r="A135" s="20">
        <f t="shared" si="11"/>
        <v>114</v>
      </c>
      <c r="B135" s="21">
        <f t="shared" si="7"/>
        <v>44866</v>
      </c>
      <c r="C135" s="22">
        <f t="shared" si="12"/>
        <v>44518154.956741311</v>
      </c>
      <c r="D135" s="22">
        <f t="shared" si="8"/>
        <v>157668.46547179215</v>
      </c>
      <c r="E135" s="22">
        <f t="shared" si="9"/>
        <v>113050.58329663525</v>
      </c>
      <c r="F135" s="22">
        <f t="shared" si="10"/>
        <v>44405104.373444676</v>
      </c>
      <c r="G135" s="22">
        <f t="shared" si="13"/>
        <v>20236155.758148033</v>
      </c>
    </row>
    <row r="136" spans="1:14">
      <c r="A136" s="20">
        <f t="shared" si="11"/>
        <v>115</v>
      </c>
      <c r="B136" s="21">
        <f t="shared" si="7"/>
        <v>44896</v>
      </c>
      <c r="C136" s="22">
        <f t="shared" si="12"/>
        <v>44405104.373444676</v>
      </c>
      <c r="D136" s="22">
        <f t="shared" si="8"/>
        <v>157268.07798928325</v>
      </c>
      <c r="E136" s="22">
        <f t="shared" si="9"/>
        <v>113450.97077914415</v>
      </c>
      <c r="F136" s="22">
        <f t="shared" si="10"/>
        <v>44291653.402665533</v>
      </c>
      <c r="G136" s="22">
        <f t="shared" si="13"/>
        <v>20393423.836137317</v>
      </c>
    </row>
    <row r="137" spans="1:14">
      <c r="A137" s="20">
        <f t="shared" si="11"/>
        <v>116</v>
      </c>
      <c r="B137" s="21">
        <f t="shared" si="7"/>
        <v>44927</v>
      </c>
      <c r="C137" s="22">
        <f t="shared" si="12"/>
        <v>44291653.402665533</v>
      </c>
      <c r="D137" s="22">
        <f t="shared" si="8"/>
        <v>156866.27246777379</v>
      </c>
      <c r="E137" s="22">
        <f t="shared" si="9"/>
        <v>113852.77630065361</v>
      </c>
      <c r="F137" s="22">
        <f t="shared" si="10"/>
        <v>44177800.626364879</v>
      </c>
      <c r="G137" s="22">
        <f t="shared" si="13"/>
        <v>20550290.108605091</v>
      </c>
    </row>
    <row r="138" spans="1:14">
      <c r="A138" s="20">
        <f t="shared" si="11"/>
        <v>117</v>
      </c>
      <c r="B138" s="21">
        <f t="shared" si="7"/>
        <v>44958</v>
      </c>
      <c r="C138" s="22">
        <f t="shared" si="12"/>
        <v>44177800.626364879</v>
      </c>
      <c r="D138" s="22">
        <f t="shared" si="8"/>
        <v>156463.04388504228</v>
      </c>
      <c r="E138" s="22">
        <f t="shared" si="9"/>
        <v>114256.00488338512</v>
      </c>
      <c r="F138" s="22">
        <f t="shared" si="10"/>
        <v>44063544.621481493</v>
      </c>
      <c r="G138" s="22">
        <f t="shared" si="13"/>
        <v>20706753.152490132</v>
      </c>
    </row>
    <row r="139" spans="1:14">
      <c r="A139" s="20">
        <f t="shared" si="11"/>
        <v>118</v>
      </c>
      <c r="B139" s="21">
        <f t="shared" si="7"/>
        <v>44986</v>
      </c>
      <c r="C139" s="22">
        <f t="shared" si="12"/>
        <v>44063544.621481493</v>
      </c>
      <c r="D139" s="22">
        <f t="shared" si="8"/>
        <v>156058.3872010803</v>
      </c>
      <c r="E139" s="22">
        <f t="shared" si="9"/>
        <v>114660.6615673471</v>
      </c>
      <c r="F139" s="22">
        <f t="shared" si="10"/>
        <v>43948883.959914148</v>
      </c>
      <c r="G139" s="22">
        <f t="shared" si="13"/>
        <v>20862811.539691214</v>
      </c>
    </row>
    <row r="140" spans="1:14">
      <c r="A140" s="20">
        <f t="shared" si="11"/>
        <v>119</v>
      </c>
      <c r="B140" s="21">
        <f t="shared" si="7"/>
        <v>45017</v>
      </c>
      <c r="C140" s="22">
        <f t="shared" si="12"/>
        <v>43948883.959914148</v>
      </c>
      <c r="D140" s="22">
        <f t="shared" si="8"/>
        <v>155652.29735802929</v>
      </c>
      <c r="E140" s="22">
        <f t="shared" si="9"/>
        <v>115066.75141039811</v>
      </c>
      <c r="F140" s="22">
        <f t="shared" si="10"/>
        <v>43833817.208503753</v>
      </c>
      <c r="G140" s="22">
        <f t="shared" si="13"/>
        <v>21018463.837049242</v>
      </c>
    </row>
    <row r="141" spans="1:14">
      <c r="A141" s="31">
        <f t="shared" si="11"/>
        <v>120</v>
      </c>
      <c r="B141" s="32">
        <f t="shared" si="7"/>
        <v>45047</v>
      </c>
      <c r="C141" s="33">
        <f t="shared" si="12"/>
        <v>43833817.208503753</v>
      </c>
      <c r="D141" s="33">
        <f t="shared" si="8"/>
        <v>155244.76928011747</v>
      </c>
      <c r="E141" s="33">
        <f t="shared" si="9"/>
        <v>115474.27948830993</v>
      </c>
      <c r="F141" s="33">
        <f t="shared" si="10"/>
        <v>43718342.929015443</v>
      </c>
      <c r="G141" s="33">
        <f t="shared" si="13"/>
        <v>21173708.606329359</v>
      </c>
      <c r="H141" s="34"/>
      <c r="I141" s="34"/>
      <c r="J141" s="34"/>
      <c r="K141" s="34"/>
      <c r="L141" s="34"/>
      <c r="M141" s="34"/>
      <c r="N141" s="34"/>
    </row>
    <row r="142" spans="1:14">
      <c r="A142" s="20">
        <f t="shared" si="11"/>
        <v>121</v>
      </c>
      <c r="B142" s="21">
        <f t="shared" si="7"/>
        <v>45078</v>
      </c>
      <c r="C142" s="22">
        <f t="shared" si="12"/>
        <v>43718342.929015443</v>
      </c>
      <c r="D142" s="22">
        <f t="shared" si="8"/>
        <v>154835.79787359637</v>
      </c>
      <c r="E142" s="22">
        <f t="shared" si="9"/>
        <v>115883.25089483103</v>
      </c>
      <c r="F142" s="22">
        <f t="shared" si="10"/>
        <v>43602459.678120613</v>
      </c>
      <c r="G142" s="22">
        <f t="shared" si="13"/>
        <v>21328544.404202957</v>
      </c>
    </row>
    <row r="143" spans="1:14">
      <c r="A143" s="20">
        <f t="shared" si="11"/>
        <v>122</v>
      </c>
      <c r="B143" s="21">
        <f t="shared" si="7"/>
        <v>45108</v>
      </c>
      <c r="C143" s="22">
        <f t="shared" si="12"/>
        <v>43602459.678120613</v>
      </c>
      <c r="D143" s="22">
        <f t="shared" si="8"/>
        <v>154425.37802667718</v>
      </c>
      <c r="E143" s="22">
        <f t="shared" si="9"/>
        <v>116293.67074175022</v>
      </c>
      <c r="F143" s="22">
        <f t="shared" si="10"/>
        <v>43486166.007378861</v>
      </c>
      <c r="G143" s="22">
        <f t="shared" si="13"/>
        <v>21482969.782229632</v>
      </c>
    </row>
    <row r="144" spans="1:14">
      <c r="A144" s="20">
        <f t="shared" si="11"/>
        <v>123</v>
      </c>
      <c r="B144" s="21">
        <f t="shared" si="7"/>
        <v>45139</v>
      </c>
      <c r="C144" s="22">
        <f t="shared" si="12"/>
        <v>43486166.007378861</v>
      </c>
      <c r="D144" s="22">
        <f t="shared" si="8"/>
        <v>154013.50460946682</v>
      </c>
      <c r="E144" s="22">
        <f t="shared" si="9"/>
        <v>116705.54415896058</v>
      </c>
      <c r="F144" s="22">
        <f t="shared" si="10"/>
        <v>43369460.463219903</v>
      </c>
      <c r="G144" s="22">
        <f t="shared" si="13"/>
        <v>21636983.286839098</v>
      </c>
    </row>
    <row r="145" spans="1:7">
      <c r="A145" s="20">
        <f t="shared" si="11"/>
        <v>124</v>
      </c>
      <c r="B145" s="21">
        <f t="shared" si="7"/>
        <v>45170</v>
      </c>
      <c r="C145" s="22">
        <f t="shared" si="12"/>
        <v>43369460.463219903</v>
      </c>
      <c r="D145" s="22">
        <f t="shared" si="8"/>
        <v>153600.17247390383</v>
      </c>
      <c r="E145" s="22">
        <f t="shared" si="9"/>
        <v>117118.87629452356</v>
      </c>
      <c r="F145" s="22">
        <f t="shared" si="10"/>
        <v>43252341.58692538</v>
      </c>
      <c r="G145" s="22">
        <f t="shared" si="13"/>
        <v>21790583.459313001</v>
      </c>
    </row>
    <row r="146" spans="1:7">
      <c r="A146" s="20">
        <f t="shared" si="11"/>
        <v>125</v>
      </c>
      <c r="B146" s="21">
        <f t="shared" si="7"/>
        <v>45200</v>
      </c>
      <c r="C146" s="22">
        <f t="shared" si="12"/>
        <v>43252341.58692538</v>
      </c>
      <c r="D146" s="22">
        <f t="shared" si="8"/>
        <v>153185.37645369407</v>
      </c>
      <c r="E146" s="22">
        <f t="shared" si="9"/>
        <v>117533.67231473333</v>
      </c>
      <c r="F146" s="22">
        <f t="shared" si="10"/>
        <v>43134807.914610647</v>
      </c>
      <c r="G146" s="22">
        <f t="shared" si="13"/>
        <v>21943768.835766695</v>
      </c>
    </row>
    <row r="147" spans="1:7">
      <c r="A147" s="20">
        <f t="shared" si="11"/>
        <v>126</v>
      </c>
      <c r="B147" s="21">
        <f t="shared" si="7"/>
        <v>45231</v>
      </c>
      <c r="C147" s="22">
        <f t="shared" si="12"/>
        <v>43134807.914610647</v>
      </c>
      <c r="D147" s="22">
        <f t="shared" si="8"/>
        <v>152769.11136424606</v>
      </c>
      <c r="E147" s="22">
        <f t="shared" si="9"/>
        <v>117949.93740418134</v>
      </c>
      <c r="F147" s="22">
        <f t="shared" si="10"/>
        <v>43016857.977206469</v>
      </c>
      <c r="G147" s="22">
        <f t="shared" si="13"/>
        <v>22096537.947130941</v>
      </c>
    </row>
    <row r="148" spans="1:7">
      <c r="A148" s="20">
        <f t="shared" si="11"/>
        <v>127</v>
      </c>
      <c r="B148" s="21">
        <f t="shared" si="7"/>
        <v>45261</v>
      </c>
      <c r="C148" s="22">
        <f t="shared" si="12"/>
        <v>43016857.977206469</v>
      </c>
      <c r="D148" s="22">
        <f t="shared" si="8"/>
        <v>152351.37200260625</v>
      </c>
      <c r="E148" s="22">
        <f t="shared" si="9"/>
        <v>118367.67676582115</v>
      </c>
      <c r="F148" s="22">
        <f t="shared" si="10"/>
        <v>42898490.300440647</v>
      </c>
      <c r="G148" s="22">
        <f t="shared" si="13"/>
        <v>22248889.319133546</v>
      </c>
    </row>
    <row r="149" spans="1:7">
      <c r="A149" s="20">
        <f t="shared" si="11"/>
        <v>128</v>
      </c>
      <c r="B149" s="21">
        <f t="shared" si="7"/>
        <v>45292</v>
      </c>
      <c r="C149" s="22">
        <f t="shared" si="12"/>
        <v>42898490.300440647</v>
      </c>
      <c r="D149" s="22">
        <f t="shared" si="8"/>
        <v>151932.15314739395</v>
      </c>
      <c r="E149" s="22">
        <f t="shared" si="9"/>
        <v>118786.89562103344</v>
      </c>
      <c r="F149" s="22">
        <f t="shared" si="10"/>
        <v>42779703.404819615</v>
      </c>
      <c r="G149" s="22">
        <f t="shared" si="13"/>
        <v>22400821.472280942</v>
      </c>
    </row>
    <row r="150" spans="1:7">
      <c r="A150" s="20">
        <f t="shared" si="11"/>
        <v>129</v>
      </c>
      <c r="B150" s="21">
        <f t="shared" ref="B150:B213" si="14">Show.Date</f>
        <v>45323</v>
      </c>
      <c r="C150" s="22">
        <f t="shared" si="12"/>
        <v>42779703.404819615</v>
      </c>
      <c r="D150" s="22">
        <f t="shared" ref="D150:D213" si="15">Interest</f>
        <v>151511.44955873615</v>
      </c>
      <c r="E150" s="22">
        <f t="shared" ref="E150:E213" si="16">Principal+H150</f>
        <v>119207.59920969125</v>
      </c>
      <c r="F150" s="22">
        <f t="shared" ref="F150:F213" si="17">Ending.Balance</f>
        <v>42660495.805609927</v>
      </c>
      <c r="G150" s="22">
        <f t="shared" si="13"/>
        <v>22552332.921839677</v>
      </c>
    </row>
    <row r="151" spans="1:7">
      <c r="A151" s="20">
        <f t="shared" ref="A151:A214" si="18">payment.Num</f>
        <v>130</v>
      </c>
      <c r="B151" s="21">
        <f t="shared" si="14"/>
        <v>45352</v>
      </c>
      <c r="C151" s="22">
        <f t="shared" ref="C151:C214" si="19">Beg.Bal</f>
        <v>42660495.805609927</v>
      </c>
      <c r="D151" s="22">
        <f t="shared" si="15"/>
        <v>151089.25597820184</v>
      </c>
      <c r="E151" s="22">
        <f t="shared" si="16"/>
        <v>119629.79279022556</v>
      </c>
      <c r="F151" s="22">
        <f t="shared" si="17"/>
        <v>42540866.0128197</v>
      </c>
      <c r="G151" s="22">
        <f t="shared" ref="G151:G214" si="20">Cum.Interest</f>
        <v>22703422.177817877</v>
      </c>
    </row>
    <row r="152" spans="1:7">
      <c r="A152" s="20">
        <f t="shared" si="18"/>
        <v>131</v>
      </c>
      <c r="B152" s="21">
        <f t="shared" si="14"/>
        <v>45383</v>
      </c>
      <c r="C152" s="22">
        <f t="shared" si="19"/>
        <v>42540866.0128197</v>
      </c>
      <c r="D152" s="22">
        <f t="shared" si="15"/>
        <v>150665.56712873644</v>
      </c>
      <c r="E152" s="22">
        <f t="shared" si="16"/>
        <v>120053.48163969096</v>
      </c>
      <c r="F152" s="22">
        <f t="shared" si="17"/>
        <v>42420812.531180009</v>
      </c>
      <c r="G152" s="22">
        <f t="shared" si="20"/>
        <v>22854087.744946614</v>
      </c>
    </row>
    <row r="153" spans="1:7">
      <c r="A153" s="20">
        <f t="shared" si="18"/>
        <v>132</v>
      </c>
      <c r="B153" s="21">
        <f t="shared" si="14"/>
        <v>45413</v>
      </c>
      <c r="C153" s="22">
        <f t="shared" si="19"/>
        <v>42420812.531180009</v>
      </c>
      <c r="D153" s="22">
        <f t="shared" si="15"/>
        <v>150240.37771459587</v>
      </c>
      <c r="E153" s="22">
        <f t="shared" si="16"/>
        <v>120478.67105383152</v>
      </c>
      <c r="F153" s="22">
        <f t="shared" si="17"/>
        <v>42300333.860126175</v>
      </c>
      <c r="G153" s="22">
        <f t="shared" si="20"/>
        <v>23004328.122661211</v>
      </c>
    </row>
    <row r="154" spans="1:7">
      <c r="A154" s="20">
        <f t="shared" si="18"/>
        <v>133</v>
      </c>
      <c r="B154" s="21">
        <f t="shared" si="14"/>
        <v>45444</v>
      </c>
      <c r="C154" s="22">
        <f t="shared" si="19"/>
        <v>42300333.860126175</v>
      </c>
      <c r="D154" s="22">
        <f t="shared" si="15"/>
        <v>149813.68242128022</v>
      </c>
      <c r="E154" s="22">
        <f t="shared" si="16"/>
        <v>120905.36634714718</v>
      </c>
      <c r="F154" s="22">
        <f t="shared" si="17"/>
        <v>42179428.493779026</v>
      </c>
      <c r="G154" s="22">
        <f t="shared" si="20"/>
        <v>23154141.805082493</v>
      </c>
    </row>
    <row r="155" spans="1:7">
      <c r="A155" s="20">
        <f t="shared" si="18"/>
        <v>134</v>
      </c>
      <c r="B155" s="21">
        <f t="shared" si="14"/>
        <v>45474</v>
      </c>
      <c r="C155" s="22">
        <f t="shared" si="19"/>
        <v>42179428.493779026</v>
      </c>
      <c r="D155" s="22">
        <f t="shared" si="15"/>
        <v>149385.4759154674</v>
      </c>
      <c r="E155" s="22">
        <f t="shared" si="16"/>
        <v>121333.57285296</v>
      </c>
      <c r="F155" s="22">
        <f t="shared" si="17"/>
        <v>42058094.920926064</v>
      </c>
      <c r="G155" s="22">
        <f t="shared" si="20"/>
        <v>23303527.280997962</v>
      </c>
    </row>
    <row r="156" spans="1:7">
      <c r="A156" s="20">
        <f t="shared" si="18"/>
        <v>135</v>
      </c>
      <c r="B156" s="21">
        <f t="shared" si="14"/>
        <v>45505</v>
      </c>
      <c r="C156" s="22">
        <f t="shared" si="19"/>
        <v>42058094.920926064</v>
      </c>
      <c r="D156" s="22">
        <f t="shared" si="15"/>
        <v>148955.75284494649</v>
      </c>
      <c r="E156" s="22">
        <f t="shared" si="16"/>
        <v>121763.29592348091</v>
      </c>
      <c r="F156" s="22">
        <f t="shared" si="17"/>
        <v>41936331.625002585</v>
      </c>
      <c r="G156" s="22">
        <f t="shared" si="20"/>
        <v>23452483.03384291</v>
      </c>
    </row>
    <row r="157" spans="1:7">
      <c r="A157" s="20">
        <f t="shared" si="18"/>
        <v>136</v>
      </c>
      <c r="B157" s="21">
        <f t="shared" si="14"/>
        <v>45536</v>
      </c>
      <c r="C157" s="22">
        <f t="shared" si="19"/>
        <v>41936331.625002585</v>
      </c>
      <c r="D157" s="22">
        <f t="shared" si="15"/>
        <v>148524.50783855084</v>
      </c>
      <c r="E157" s="22">
        <f t="shared" si="16"/>
        <v>122194.54092987656</v>
      </c>
      <c r="F157" s="22">
        <f t="shared" si="17"/>
        <v>41814137.084072709</v>
      </c>
      <c r="G157" s="22">
        <f t="shared" si="20"/>
        <v>23601007.541681461</v>
      </c>
    </row>
    <row r="158" spans="1:7">
      <c r="A158" s="20">
        <f t="shared" si="18"/>
        <v>137</v>
      </c>
      <c r="B158" s="21">
        <f t="shared" si="14"/>
        <v>45566</v>
      </c>
      <c r="C158" s="22">
        <f t="shared" si="19"/>
        <v>41814137.084072709</v>
      </c>
      <c r="D158" s="22">
        <f t="shared" si="15"/>
        <v>148091.73550609086</v>
      </c>
      <c r="E158" s="22">
        <f t="shared" si="16"/>
        <v>122627.31326233654</v>
      </c>
      <c r="F158" s="22">
        <f t="shared" si="17"/>
        <v>41691509.770810373</v>
      </c>
      <c r="G158" s="22">
        <f t="shared" si="20"/>
        <v>23749099.277187552</v>
      </c>
    </row>
    <row r="159" spans="1:7">
      <c r="A159" s="20">
        <f t="shared" si="18"/>
        <v>138</v>
      </c>
      <c r="B159" s="21">
        <f t="shared" si="14"/>
        <v>45597</v>
      </c>
      <c r="C159" s="22">
        <f t="shared" si="19"/>
        <v>41691509.770810373</v>
      </c>
      <c r="D159" s="22">
        <f t="shared" si="15"/>
        <v>147657.43043828674</v>
      </c>
      <c r="E159" s="22">
        <f t="shared" si="16"/>
        <v>123061.61833014066</v>
      </c>
      <c r="F159" s="22">
        <f t="shared" si="17"/>
        <v>41568448.15248023</v>
      </c>
      <c r="G159" s="22">
        <f t="shared" si="20"/>
        <v>23896756.70762584</v>
      </c>
    </row>
    <row r="160" spans="1:7">
      <c r="A160" s="20">
        <f t="shared" si="18"/>
        <v>139</v>
      </c>
      <c r="B160" s="21">
        <f t="shared" si="14"/>
        <v>45627</v>
      </c>
      <c r="C160" s="22">
        <f t="shared" si="19"/>
        <v>41568448.15248023</v>
      </c>
      <c r="D160" s="22">
        <f t="shared" si="15"/>
        <v>147221.58720670082</v>
      </c>
      <c r="E160" s="22">
        <f t="shared" si="16"/>
        <v>123497.46156172658</v>
      </c>
      <c r="F160" s="22">
        <f t="shared" si="17"/>
        <v>41444950.690918505</v>
      </c>
      <c r="G160" s="22">
        <f t="shared" si="20"/>
        <v>24043978.294832543</v>
      </c>
    </row>
    <row r="161" spans="1:7">
      <c r="A161" s="20">
        <f t="shared" si="18"/>
        <v>140</v>
      </c>
      <c r="B161" s="21">
        <f t="shared" si="14"/>
        <v>45658</v>
      </c>
      <c r="C161" s="22">
        <f t="shared" si="19"/>
        <v>41444950.690918505</v>
      </c>
      <c r="D161" s="22">
        <f t="shared" si="15"/>
        <v>146784.20036366972</v>
      </c>
      <c r="E161" s="22">
        <f t="shared" si="16"/>
        <v>123934.84840475768</v>
      </c>
      <c r="F161" s="22">
        <f t="shared" si="17"/>
        <v>41321015.842513748</v>
      </c>
      <c r="G161" s="22">
        <f t="shared" si="20"/>
        <v>24190762.495196212</v>
      </c>
    </row>
    <row r="162" spans="1:7">
      <c r="A162" s="20">
        <f t="shared" si="18"/>
        <v>141</v>
      </c>
      <c r="B162" s="21">
        <f t="shared" si="14"/>
        <v>45689</v>
      </c>
      <c r="C162" s="22">
        <f t="shared" si="19"/>
        <v>41321015.842513748</v>
      </c>
      <c r="D162" s="22">
        <f t="shared" si="15"/>
        <v>146345.26444223619</v>
      </c>
      <c r="E162" s="22">
        <f t="shared" si="16"/>
        <v>124373.78432619121</v>
      </c>
      <c r="F162" s="22">
        <f t="shared" si="17"/>
        <v>41196642.058187559</v>
      </c>
      <c r="G162" s="22">
        <f t="shared" si="20"/>
        <v>24337107.759638447</v>
      </c>
    </row>
    <row r="163" spans="1:7">
      <c r="A163" s="20">
        <f t="shared" si="18"/>
        <v>142</v>
      </c>
      <c r="B163" s="21">
        <f t="shared" si="14"/>
        <v>45717</v>
      </c>
      <c r="C163" s="22">
        <f t="shared" si="19"/>
        <v>41196642.058187559</v>
      </c>
      <c r="D163" s="22">
        <f t="shared" si="15"/>
        <v>145904.77395608096</v>
      </c>
      <c r="E163" s="22">
        <f t="shared" si="16"/>
        <v>124814.27481234644</v>
      </c>
      <c r="F163" s="22">
        <f t="shared" si="17"/>
        <v>41071827.783375211</v>
      </c>
      <c r="G163" s="22">
        <f t="shared" si="20"/>
        <v>24483012.53359453</v>
      </c>
    </row>
    <row r="164" spans="1:7">
      <c r="A164" s="20">
        <f t="shared" si="18"/>
        <v>143</v>
      </c>
      <c r="B164" s="21">
        <f t="shared" si="14"/>
        <v>45748</v>
      </c>
      <c r="C164" s="22">
        <f t="shared" si="19"/>
        <v>41071827.783375211</v>
      </c>
      <c r="D164" s="22">
        <f t="shared" si="15"/>
        <v>145462.72339945388</v>
      </c>
      <c r="E164" s="22">
        <f t="shared" si="16"/>
        <v>125256.32536897351</v>
      </c>
      <c r="F164" s="22">
        <f t="shared" si="17"/>
        <v>40946571.45800624</v>
      </c>
      <c r="G164" s="22">
        <f t="shared" si="20"/>
        <v>24628475.256993983</v>
      </c>
    </row>
    <row r="165" spans="1:7">
      <c r="A165" s="20">
        <f t="shared" si="18"/>
        <v>144</v>
      </c>
      <c r="B165" s="21">
        <f t="shared" si="14"/>
        <v>45778</v>
      </c>
      <c r="C165" s="22">
        <f t="shared" si="19"/>
        <v>40946571.45800624</v>
      </c>
      <c r="D165" s="22">
        <f t="shared" si="15"/>
        <v>145019.10724710545</v>
      </c>
      <c r="E165" s="22">
        <f t="shared" si="16"/>
        <v>125699.94152132195</v>
      </c>
      <c r="F165" s="22">
        <f t="shared" si="17"/>
        <v>40820871.516484916</v>
      </c>
      <c r="G165" s="22">
        <f t="shared" si="20"/>
        <v>24773494.36424109</v>
      </c>
    </row>
    <row r="166" spans="1:7">
      <c r="A166" s="20">
        <f t="shared" si="18"/>
        <v>145</v>
      </c>
      <c r="B166" s="21">
        <f t="shared" si="14"/>
        <v>45809</v>
      </c>
      <c r="C166" s="22">
        <f t="shared" si="19"/>
        <v>40820871.516484916</v>
      </c>
      <c r="D166" s="22">
        <f t="shared" si="15"/>
        <v>144573.91995421742</v>
      </c>
      <c r="E166" s="22">
        <f t="shared" si="16"/>
        <v>126145.12881420998</v>
      </c>
      <c r="F166" s="22">
        <f t="shared" si="17"/>
        <v>40694726.387670703</v>
      </c>
      <c r="G166" s="22">
        <f t="shared" si="20"/>
        <v>24918068.284195308</v>
      </c>
    </row>
    <row r="167" spans="1:7">
      <c r="A167" s="20">
        <f t="shared" si="18"/>
        <v>146</v>
      </c>
      <c r="B167" s="21">
        <f t="shared" si="14"/>
        <v>45839</v>
      </c>
      <c r="C167" s="22">
        <f t="shared" si="19"/>
        <v>40694726.387670703</v>
      </c>
      <c r="D167" s="22">
        <f t="shared" si="15"/>
        <v>144127.15595633377</v>
      </c>
      <c r="E167" s="22">
        <f t="shared" si="16"/>
        <v>126591.89281209363</v>
      </c>
      <c r="F167" s="22">
        <f t="shared" si="17"/>
        <v>40568134.494858608</v>
      </c>
      <c r="G167" s="22">
        <f t="shared" si="20"/>
        <v>25062195.440151643</v>
      </c>
    </row>
    <row r="168" spans="1:7">
      <c r="A168" s="20">
        <f t="shared" si="18"/>
        <v>147</v>
      </c>
      <c r="B168" s="21">
        <f t="shared" si="14"/>
        <v>45870</v>
      </c>
      <c r="C168" s="22">
        <f t="shared" si="19"/>
        <v>40568134.494858608</v>
      </c>
      <c r="D168" s="22">
        <f t="shared" si="15"/>
        <v>143678.8096692909</v>
      </c>
      <c r="E168" s="22">
        <f t="shared" si="16"/>
        <v>127040.2390991365</v>
      </c>
      <c r="F168" s="22">
        <f t="shared" si="17"/>
        <v>40441094.25575947</v>
      </c>
      <c r="G168" s="22">
        <f t="shared" si="20"/>
        <v>25205874.249820933</v>
      </c>
    </row>
    <row r="169" spans="1:7">
      <c r="A169" s="20">
        <f t="shared" si="18"/>
        <v>148</v>
      </c>
      <c r="B169" s="21">
        <f t="shared" si="14"/>
        <v>45901</v>
      </c>
      <c r="C169" s="22">
        <f t="shared" si="19"/>
        <v>40441094.25575947</v>
      </c>
      <c r="D169" s="22">
        <f t="shared" si="15"/>
        <v>143228.87548914814</v>
      </c>
      <c r="E169" s="22">
        <f t="shared" si="16"/>
        <v>127490.17327927926</v>
      </c>
      <c r="F169" s="22">
        <f t="shared" si="17"/>
        <v>40313604.082480192</v>
      </c>
      <c r="G169" s="22">
        <f t="shared" si="20"/>
        <v>25349103.125310082</v>
      </c>
    </row>
    <row r="170" spans="1:7">
      <c r="A170" s="20">
        <f t="shared" si="18"/>
        <v>149</v>
      </c>
      <c r="B170" s="21">
        <f t="shared" si="14"/>
        <v>45931</v>
      </c>
      <c r="C170" s="22">
        <f t="shared" si="19"/>
        <v>40313604.082480192</v>
      </c>
      <c r="D170" s="22">
        <f t="shared" si="15"/>
        <v>142777.34779211736</v>
      </c>
      <c r="E170" s="22">
        <f t="shared" si="16"/>
        <v>127941.70097631004</v>
      </c>
      <c r="F170" s="22">
        <f t="shared" si="17"/>
        <v>40185662.38150388</v>
      </c>
      <c r="G170" s="22">
        <f t="shared" si="20"/>
        <v>25491880.473102201</v>
      </c>
    </row>
    <row r="171" spans="1:7">
      <c r="A171" s="20">
        <f t="shared" si="18"/>
        <v>150</v>
      </c>
      <c r="B171" s="21">
        <f t="shared" si="14"/>
        <v>45962</v>
      </c>
      <c r="C171" s="22">
        <f t="shared" si="19"/>
        <v>40185662.38150388</v>
      </c>
      <c r="D171" s="22">
        <f t="shared" si="15"/>
        <v>142324.22093449291</v>
      </c>
      <c r="E171" s="22">
        <f t="shared" si="16"/>
        <v>128394.82783393448</v>
      </c>
      <c r="F171" s="22">
        <f t="shared" si="17"/>
        <v>40057267.553669944</v>
      </c>
      <c r="G171" s="22">
        <f t="shared" si="20"/>
        <v>25634204.694036692</v>
      </c>
    </row>
    <row r="172" spans="1:7">
      <c r="A172" s="20">
        <f t="shared" si="18"/>
        <v>151</v>
      </c>
      <c r="B172" s="21">
        <f t="shared" si="14"/>
        <v>45992</v>
      </c>
      <c r="C172" s="22">
        <f t="shared" si="19"/>
        <v>40057267.553669944</v>
      </c>
      <c r="D172" s="22">
        <f t="shared" si="15"/>
        <v>141869.48925258106</v>
      </c>
      <c r="E172" s="22">
        <f t="shared" si="16"/>
        <v>128849.55951584634</v>
      </c>
      <c r="F172" s="22">
        <f t="shared" si="17"/>
        <v>39928417.994154096</v>
      </c>
      <c r="G172" s="22">
        <f t="shared" si="20"/>
        <v>25776074.183289275</v>
      </c>
    </row>
    <row r="173" spans="1:7">
      <c r="A173" s="20">
        <f t="shared" si="18"/>
        <v>152</v>
      </c>
      <c r="B173" s="21">
        <f t="shared" si="14"/>
        <v>46023</v>
      </c>
      <c r="C173" s="22">
        <f t="shared" si="19"/>
        <v>39928417.994154096</v>
      </c>
      <c r="D173" s="22">
        <f t="shared" si="15"/>
        <v>141413.14706262911</v>
      </c>
      <c r="E173" s="22">
        <f t="shared" si="16"/>
        <v>129305.90170579829</v>
      </c>
      <c r="F173" s="22">
        <f t="shared" si="17"/>
        <v>39799112.092448294</v>
      </c>
      <c r="G173" s="22">
        <f t="shared" si="20"/>
        <v>25917487.330351904</v>
      </c>
    </row>
    <row r="174" spans="1:7">
      <c r="A174" s="20">
        <f t="shared" si="18"/>
        <v>153</v>
      </c>
      <c r="B174" s="21">
        <f t="shared" si="14"/>
        <v>46054</v>
      </c>
      <c r="C174" s="22">
        <f t="shared" si="19"/>
        <v>39799112.092448294</v>
      </c>
      <c r="D174" s="22">
        <f t="shared" si="15"/>
        <v>140955.18866075439</v>
      </c>
      <c r="E174" s="22">
        <f t="shared" si="16"/>
        <v>129763.86010767301</v>
      </c>
      <c r="F174" s="22">
        <f t="shared" si="17"/>
        <v>39669348.232340619</v>
      </c>
      <c r="G174" s="22">
        <f t="shared" si="20"/>
        <v>26058442.51901266</v>
      </c>
    </row>
    <row r="175" spans="1:7">
      <c r="A175" s="20">
        <f t="shared" si="18"/>
        <v>154</v>
      </c>
      <c r="B175" s="21">
        <f t="shared" si="14"/>
        <v>46082</v>
      </c>
      <c r="C175" s="22">
        <f t="shared" si="19"/>
        <v>39669348.232340619</v>
      </c>
      <c r="D175" s="22">
        <f t="shared" si="15"/>
        <v>140495.60832287304</v>
      </c>
      <c r="E175" s="22">
        <f t="shared" si="16"/>
        <v>130223.44044555436</v>
      </c>
      <c r="F175" s="22">
        <f t="shared" si="17"/>
        <v>39539124.791895062</v>
      </c>
      <c r="G175" s="22">
        <f t="shared" si="20"/>
        <v>26198938.127335533</v>
      </c>
    </row>
    <row r="176" spans="1:7">
      <c r="A176" s="20">
        <f t="shared" si="18"/>
        <v>155</v>
      </c>
      <c r="B176" s="21">
        <f t="shared" si="14"/>
        <v>46113</v>
      </c>
      <c r="C176" s="22">
        <f t="shared" si="19"/>
        <v>39539124.791895062</v>
      </c>
      <c r="D176" s="22">
        <f t="shared" si="15"/>
        <v>140034.40030462836</v>
      </c>
      <c r="E176" s="22">
        <f t="shared" si="16"/>
        <v>130684.64846379904</v>
      </c>
      <c r="F176" s="22">
        <f t="shared" si="17"/>
        <v>39408440.143431261</v>
      </c>
      <c r="G176" s="22">
        <f t="shared" si="20"/>
        <v>26338972.52764016</v>
      </c>
    </row>
    <row r="177" spans="1:7">
      <c r="A177" s="20">
        <f t="shared" si="18"/>
        <v>156</v>
      </c>
      <c r="B177" s="21">
        <f t="shared" si="14"/>
        <v>46143</v>
      </c>
      <c r="C177" s="22">
        <f t="shared" si="19"/>
        <v>39408440.143431261</v>
      </c>
      <c r="D177" s="22">
        <f t="shared" si="15"/>
        <v>139571.55884131906</v>
      </c>
      <c r="E177" s="22">
        <f t="shared" si="16"/>
        <v>131147.48992710834</v>
      </c>
      <c r="F177" s="22">
        <f t="shared" si="17"/>
        <v>39277292.653504156</v>
      </c>
      <c r="G177" s="22">
        <f t="shared" si="20"/>
        <v>26478544.086481478</v>
      </c>
    </row>
    <row r="178" spans="1:7">
      <c r="A178" s="20">
        <f t="shared" si="18"/>
        <v>157</v>
      </c>
      <c r="B178" s="21">
        <f t="shared" si="14"/>
        <v>46174</v>
      </c>
      <c r="C178" s="22">
        <f t="shared" si="19"/>
        <v>39277292.653504156</v>
      </c>
      <c r="D178" s="22">
        <f t="shared" si="15"/>
        <v>139107.07814782724</v>
      </c>
      <c r="E178" s="22">
        <f t="shared" si="16"/>
        <v>131611.97062060016</v>
      </c>
      <c r="F178" s="22">
        <f t="shared" si="17"/>
        <v>39145680.682883553</v>
      </c>
      <c r="G178" s="22">
        <f t="shared" si="20"/>
        <v>26617651.164629307</v>
      </c>
    </row>
    <row r="179" spans="1:7">
      <c r="A179" s="20">
        <f t="shared" si="18"/>
        <v>158</v>
      </c>
      <c r="B179" s="21">
        <f t="shared" si="14"/>
        <v>46204</v>
      </c>
      <c r="C179" s="22">
        <f t="shared" si="19"/>
        <v>39145680.682883553</v>
      </c>
      <c r="D179" s="22">
        <f t="shared" si="15"/>
        <v>138640.95241854593</v>
      </c>
      <c r="E179" s="22">
        <f t="shared" si="16"/>
        <v>132078.09634988147</v>
      </c>
      <c r="F179" s="22">
        <f t="shared" si="17"/>
        <v>39013602.586533673</v>
      </c>
      <c r="G179" s="22">
        <f t="shared" si="20"/>
        <v>26756292.117047854</v>
      </c>
    </row>
    <row r="180" spans="1:7">
      <c r="A180" s="20">
        <f t="shared" si="18"/>
        <v>159</v>
      </c>
      <c r="B180" s="21">
        <f t="shared" si="14"/>
        <v>46235</v>
      </c>
      <c r="C180" s="22">
        <f t="shared" si="19"/>
        <v>39013602.586533673</v>
      </c>
      <c r="D180" s="22">
        <f t="shared" si="15"/>
        <v>138173.17582730678</v>
      </c>
      <c r="E180" s="22">
        <f t="shared" si="16"/>
        <v>132545.87294112061</v>
      </c>
      <c r="F180" s="22">
        <f t="shared" si="17"/>
        <v>38881056.713592552</v>
      </c>
      <c r="G180" s="22">
        <f t="shared" si="20"/>
        <v>26894465.29287516</v>
      </c>
    </row>
    <row r="181" spans="1:7">
      <c r="A181" s="20">
        <f t="shared" si="18"/>
        <v>160</v>
      </c>
      <c r="B181" s="21">
        <f t="shared" si="14"/>
        <v>46266</v>
      </c>
      <c r="C181" s="22">
        <f t="shared" si="19"/>
        <v>38881056.713592552</v>
      </c>
      <c r="D181" s="22">
        <f t="shared" si="15"/>
        <v>137703.74252730695</v>
      </c>
      <c r="E181" s="22">
        <f t="shared" si="16"/>
        <v>133015.30624112044</v>
      </c>
      <c r="F181" s="22">
        <f t="shared" si="17"/>
        <v>38748041.407351434</v>
      </c>
      <c r="G181" s="22">
        <f t="shared" si="20"/>
        <v>27032169.035402466</v>
      </c>
    </row>
    <row r="182" spans="1:7">
      <c r="A182" s="20">
        <f t="shared" si="18"/>
        <v>161</v>
      </c>
      <c r="B182" s="21">
        <f t="shared" si="14"/>
        <v>46296</v>
      </c>
      <c r="C182" s="22">
        <f t="shared" si="19"/>
        <v>38748041.407351434</v>
      </c>
      <c r="D182" s="22">
        <f t="shared" si="15"/>
        <v>137232.64665103634</v>
      </c>
      <c r="E182" s="22">
        <f t="shared" si="16"/>
        <v>133486.40211739106</v>
      </c>
      <c r="F182" s="22">
        <f t="shared" si="17"/>
        <v>38614555.00523404</v>
      </c>
      <c r="G182" s="22">
        <f t="shared" si="20"/>
        <v>27169401.682053503</v>
      </c>
    </row>
    <row r="183" spans="1:7">
      <c r="A183" s="20">
        <f t="shared" si="18"/>
        <v>162</v>
      </c>
      <c r="B183" s="21">
        <f t="shared" si="14"/>
        <v>46327</v>
      </c>
      <c r="C183" s="22">
        <f t="shared" si="19"/>
        <v>38614555.00523404</v>
      </c>
      <c r="D183" s="22">
        <f t="shared" si="15"/>
        <v>136759.88231020392</v>
      </c>
      <c r="E183" s="22">
        <f t="shared" si="16"/>
        <v>133959.16645822348</v>
      </c>
      <c r="F183" s="22">
        <f t="shared" si="17"/>
        <v>38480595.838775814</v>
      </c>
      <c r="G183" s="22">
        <f t="shared" si="20"/>
        <v>27306161.564363707</v>
      </c>
    </row>
    <row r="184" spans="1:7">
      <c r="A184" s="20">
        <f t="shared" si="18"/>
        <v>163</v>
      </c>
      <c r="B184" s="21">
        <f t="shared" si="14"/>
        <v>46357</v>
      </c>
      <c r="C184" s="22">
        <f t="shared" si="19"/>
        <v>38480595.838775814</v>
      </c>
      <c r="D184" s="22">
        <f t="shared" si="15"/>
        <v>136285.44359566434</v>
      </c>
      <c r="E184" s="22">
        <f t="shared" si="16"/>
        <v>134433.60517276305</v>
      </c>
      <c r="F184" s="22">
        <f t="shared" si="17"/>
        <v>38346162.233603053</v>
      </c>
      <c r="G184" s="22">
        <f t="shared" si="20"/>
        <v>27442447.00795937</v>
      </c>
    </row>
    <row r="185" spans="1:7">
      <c r="A185" s="20">
        <f t="shared" si="18"/>
        <v>164</v>
      </c>
      <c r="B185" s="21">
        <f t="shared" si="14"/>
        <v>46388</v>
      </c>
      <c r="C185" s="22">
        <f t="shared" si="19"/>
        <v>38346162.233603053</v>
      </c>
      <c r="D185" s="22">
        <f t="shared" si="15"/>
        <v>135809.32457734414</v>
      </c>
      <c r="E185" s="22">
        <f t="shared" si="16"/>
        <v>134909.72419108325</v>
      </c>
      <c r="F185" s="22">
        <f t="shared" si="17"/>
        <v>38211252.509411968</v>
      </c>
      <c r="G185" s="22">
        <f t="shared" si="20"/>
        <v>27578256.332536712</v>
      </c>
    </row>
    <row r="186" spans="1:7">
      <c r="A186" s="20">
        <f t="shared" si="18"/>
        <v>165</v>
      </c>
      <c r="B186" s="21">
        <f t="shared" si="14"/>
        <v>46419</v>
      </c>
      <c r="C186" s="22">
        <f t="shared" si="19"/>
        <v>38211252.509411968</v>
      </c>
      <c r="D186" s="22">
        <f t="shared" si="15"/>
        <v>135331.51930416739</v>
      </c>
      <c r="E186" s="22">
        <f t="shared" si="16"/>
        <v>135387.52946426001</v>
      </c>
      <c r="F186" s="22">
        <f t="shared" si="17"/>
        <v>38075864.979947709</v>
      </c>
      <c r="G186" s="22">
        <f t="shared" si="20"/>
        <v>27713587.85184088</v>
      </c>
    </row>
    <row r="187" spans="1:7">
      <c r="A187" s="20">
        <f t="shared" si="18"/>
        <v>166</v>
      </c>
      <c r="B187" s="21">
        <f t="shared" si="14"/>
        <v>46447</v>
      </c>
      <c r="C187" s="22">
        <f t="shared" si="19"/>
        <v>38075864.979947709</v>
      </c>
      <c r="D187" s="22">
        <f t="shared" si="15"/>
        <v>134852.02180398148</v>
      </c>
      <c r="E187" s="22">
        <f t="shared" si="16"/>
        <v>135867.02696444592</v>
      </c>
      <c r="F187" s="22">
        <f t="shared" si="17"/>
        <v>37939997.95298326</v>
      </c>
      <c r="G187" s="22">
        <f t="shared" si="20"/>
        <v>27848439.873644862</v>
      </c>
    </row>
    <row r="188" spans="1:7">
      <c r="A188" s="20">
        <f t="shared" si="18"/>
        <v>167</v>
      </c>
      <c r="B188" s="21">
        <f t="shared" si="14"/>
        <v>46478</v>
      </c>
      <c r="C188" s="22">
        <f t="shared" si="19"/>
        <v>37939997.95298326</v>
      </c>
      <c r="D188" s="22">
        <f t="shared" si="15"/>
        <v>134370.82608348239</v>
      </c>
      <c r="E188" s="22">
        <f t="shared" si="16"/>
        <v>136348.22268494501</v>
      </c>
      <c r="F188" s="22">
        <f t="shared" si="17"/>
        <v>37803649.730298318</v>
      </c>
      <c r="G188" s="22">
        <f t="shared" si="20"/>
        <v>27982810.699728344</v>
      </c>
    </row>
    <row r="189" spans="1:7">
      <c r="A189" s="20">
        <f t="shared" si="18"/>
        <v>168</v>
      </c>
      <c r="B189" s="21">
        <f t="shared" si="14"/>
        <v>46508</v>
      </c>
      <c r="C189" s="22">
        <f t="shared" si="19"/>
        <v>37803649.730298318</v>
      </c>
      <c r="D189" s="22">
        <f t="shared" si="15"/>
        <v>133887.92612813989</v>
      </c>
      <c r="E189" s="22">
        <f t="shared" si="16"/>
        <v>136831.1226402875</v>
      </c>
      <c r="F189" s="22">
        <f t="shared" si="17"/>
        <v>37666818.607658029</v>
      </c>
      <c r="G189" s="22">
        <f t="shared" si="20"/>
        <v>28116698.625856485</v>
      </c>
    </row>
    <row r="190" spans="1:7">
      <c r="A190" s="20">
        <f t="shared" si="18"/>
        <v>169</v>
      </c>
      <c r="B190" s="21">
        <f t="shared" si="14"/>
        <v>46539</v>
      </c>
      <c r="C190" s="22">
        <f t="shared" si="19"/>
        <v>37666818.607658029</v>
      </c>
      <c r="D190" s="22">
        <f t="shared" si="15"/>
        <v>133403.31590212218</v>
      </c>
      <c r="E190" s="22">
        <f t="shared" si="16"/>
        <v>137315.73286630522</v>
      </c>
      <c r="F190" s="22">
        <f t="shared" si="17"/>
        <v>37529502.874791726</v>
      </c>
      <c r="G190" s="22">
        <f t="shared" si="20"/>
        <v>28250101.941758607</v>
      </c>
    </row>
    <row r="191" spans="1:7">
      <c r="A191" s="20">
        <f t="shared" si="18"/>
        <v>170</v>
      </c>
      <c r="B191" s="21">
        <f t="shared" si="14"/>
        <v>46569</v>
      </c>
      <c r="C191" s="22">
        <f t="shared" si="19"/>
        <v>37529502.874791726</v>
      </c>
      <c r="D191" s="22">
        <f t="shared" si="15"/>
        <v>132916.9893482207</v>
      </c>
      <c r="E191" s="22">
        <f t="shared" si="16"/>
        <v>137802.0594202067</v>
      </c>
      <c r="F191" s="22">
        <f t="shared" si="17"/>
        <v>37391700.815371521</v>
      </c>
      <c r="G191" s="22">
        <f t="shared" si="20"/>
        <v>28383018.931106828</v>
      </c>
    </row>
    <row r="192" spans="1:7">
      <c r="A192" s="20">
        <f t="shared" si="18"/>
        <v>171</v>
      </c>
      <c r="B192" s="21">
        <f t="shared" si="14"/>
        <v>46600</v>
      </c>
      <c r="C192" s="22">
        <f t="shared" si="19"/>
        <v>37391700.815371521</v>
      </c>
      <c r="D192" s="22">
        <f t="shared" si="15"/>
        <v>132428.94038777414</v>
      </c>
      <c r="E192" s="22">
        <f t="shared" si="16"/>
        <v>138290.10838065326</v>
      </c>
      <c r="F192" s="22">
        <f t="shared" si="17"/>
        <v>37253410.706990868</v>
      </c>
      <c r="G192" s="22">
        <f t="shared" si="20"/>
        <v>28515447.871494602</v>
      </c>
    </row>
    <row r="193" spans="1:7">
      <c r="A193" s="20">
        <f t="shared" si="18"/>
        <v>172</v>
      </c>
      <c r="B193" s="21">
        <f t="shared" si="14"/>
        <v>46631</v>
      </c>
      <c r="C193" s="22">
        <f t="shared" si="19"/>
        <v>37253410.706990868</v>
      </c>
      <c r="D193" s="22">
        <f t="shared" si="15"/>
        <v>131939.16292059267</v>
      </c>
      <c r="E193" s="22">
        <f t="shared" si="16"/>
        <v>138779.88584783472</v>
      </c>
      <c r="F193" s="22">
        <f t="shared" si="17"/>
        <v>37114630.821143031</v>
      </c>
      <c r="G193" s="22">
        <f t="shared" si="20"/>
        <v>28647387.034415197</v>
      </c>
    </row>
    <row r="194" spans="1:7">
      <c r="A194" s="20">
        <f t="shared" si="18"/>
        <v>173</v>
      </c>
      <c r="B194" s="21">
        <f t="shared" si="14"/>
        <v>46661</v>
      </c>
      <c r="C194" s="22">
        <f t="shared" si="19"/>
        <v>37114630.821143031</v>
      </c>
      <c r="D194" s="22">
        <f t="shared" si="15"/>
        <v>131447.65082488157</v>
      </c>
      <c r="E194" s="22">
        <f t="shared" si="16"/>
        <v>139271.39794354583</v>
      </c>
      <c r="F194" s="22">
        <f t="shared" si="17"/>
        <v>36975359.423199482</v>
      </c>
      <c r="G194" s="22">
        <f t="shared" si="20"/>
        <v>28778834.685240079</v>
      </c>
    </row>
    <row r="195" spans="1:7">
      <c r="A195" s="20">
        <f t="shared" si="18"/>
        <v>174</v>
      </c>
      <c r="B195" s="21">
        <f t="shared" si="14"/>
        <v>46692</v>
      </c>
      <c r="C195" s="22">
        <f t="shared" si="19"/>
        <v>36975359.423199482</v>
      </c>
      <c r="D195" s="22">
        <f t="shared" si="15"/>
        <v>130954.39795716484</v>
      </c>
      <c r="E195" s="22">
        <f t="shared" si="16"/>
        <v>139764.65081126255</v>
      </c>
      <c r="F195" s="22">
        <f t="shared" si="17"/>
        <v>36835594.77238822</v>
      </c>
      <c r="G195" s="22">
        <f t="shared" si="20"/>
        <v>28909789.083197244</v>
      </c>
    </row>
    <row r="196" spans="1:7">
      <c r="A196" s="20">
        <f t="shared" si="18"/>
        <v>175</v>
      </c>
      <c r="B196" s="21">
        <f t="shared" si="14"/>
        <v>46722</v>
      </c>
      <c r="C196" s="22">
        <f t="shared" si="19"/>
        <v>36835594.77238822</v>
      </c>
      <c r="D196" s="22">
        <f t="shared" si="15"/>
        <v>130459.39815220829</v>
      </c>
      <c r="E196" s="22">
        <f t="shared" si="16"/>
        <v>140259.65061621909</v>
      </c>
      <c r="F196" s="22">
        <f t="shared" si="17"/>
        <v>36695335.121771999</v>
      </c>
      <c r="G196" s="22">
        <f t="shared" si="20"/>
        <v>29040248.481349453</v>
      </c>
    </row>
    <row r="197" spans="1:7">
      <c r="A197" s="20">
        <f t="shared" si="18"/>
        <v>176</v>
      </c>
      <c r="B197" s="21">
        <f t="shared" si="14"/>
        <v>46753</v>
      </c>
      <c r="C197" s="22">
        <f t="shared" si="19"/>
        <v>36695335.121771999</v>
      </c>
      <c r="D197" s="22">
        <f t="shared" si="15"/>
        <v>129962.6452229425</v>
      </c>
      <c r="E197" s="22">
        <f t="shared" si="16"/>
        <v>140756.40354548488</v>
      </c>
      <c r="F197" s="22">
        <f t="shared" si="17"/>
        <v>36554578.718226515</v>
      </c>
      <c r="G197" s="22">
        <f t="shared" si="20"/>
        <v>29170211.126572397</v>
      </c>
    </row>
    <row r="198" spans="1:7">
      <c r="A198" s="20">
        <f t="shared" si="18"/>
        <v>177</v>
      </c>
      <c r="B198" s="21">
        <f t="shared" si="14"/>
        <v>46784</v>
      </c>
      <c r="C198" s="22">
        <f t="shared" si="19"/>
        <v>36554578.718226515</v>
      </c>
      <c r="D198" s="22">
        <f t="shared" si="15"/>
        <v>129464.13296038558</v>
      </c>
      <c r="E198" s="22">
        <f t="shared" si="16"/>
        <v>141254.91580804181</v>
      </c>
      <c r="F198" s="22">
        <f t="shared" si="17"/>
        <v>36413323.80241847</v>
      </c>
      <c r="G198" s="22">
        <f t="shared" si="20"/>
        <v>29299675.259532783</v>
      </c>
    </row>
    <row r="199" spans="1:7">
      <c r="A199" s="20">
        <f t="shared" si="18"/>
        <v>178</v>
      </c>
      <c r="B199" s="21">
        <f t="shared" si="14"/>
        <v>46813</v>
      </c>
      <c r="C199" s="22">
        <f t="shared" si="19"/>
        <v>36413323.80241847</v>
      </c>
      <c r="D199" s="22">
        <f t="shared" si="15"/>
        <v>128963.85513356542</v>
      </c>
      <c r="E199" s="22">
        <f t="shared" si="16"/>
        <v>141755.19363486196</v>
      </c>
      <c r="F199" s="22">
        <f t="shared" si="17"/>
        <v>36271568.60878361</v>
      </c>
      <c r="G199" s="22">
        <f t="shared" si="20"/>
        <v>29428639.11466635</v>
      </c>
    </row>
    <row r="200" spans="1:7">
      <c r="A200" s="20">
        <f t="shared" si="18"/>
        <v>179</v>
      </c>
      <c r="B200" s="21">
        <f t="shared" si="14"/>
        <v>46844</v>
      </c>
      <c r="C200" s="22">
        <f t="shared" si="19"/>
        <v>36271568.60878361</v>
      </c>
      <c r="D200" s="22">
        <f t="shared" si="15"/>
        <v>128461.80548944196</v>
      </c>
      <c r="E200" s="22">
        <f t="shared" si="16"/>
        <v>142257.24327898544</v>
      </c>
      <c r="F200" s="22">
        <f t="shared" si="17"/>
        <v>36129311.365504622</v>
      </c>
      <c r="G200" s="22">
        <f t="shared" si="20"/>
        <v>29557100.920155793</v>
      </c>
    </row>
    <row r="201" spans="1:7">
      <c r="A201" s="20">
        <f t="shared" si="18"/>
        <v>180</v>
      </c>
      <c r="B201" s="21">
        <f t="shared" si="14"/>
        <v>46874</v>
      </c>
      <c r="C201" s="22">
        <f t="shared" si="19"/>
        <v>36129311.365504622</v>
      </c>
      <c r="D201" s="22">
        <f t="shared" si="15"/>
        <v>127957.97775282888</v>
      </c>
      <c r="E201" s="22">
        <f t="shared" si="16"/>
        <v>142761.07101559851</v>
      </c>
      <c r="F201" s="22">
        <f t="shared" si="17"/>
        <v>35986550.294489026</v>
      </c>
      <c r="G201" s="22">
        <f t="shared" si="20"/>
        <v>29685058.897908621</v>
      </c>
    </row>
    <row r="202" spans="1:7">
      <c r="A202" s="20">
        <f t="shared" si="18"/>
        <v>181</v>
      </c>
      <c r="B202" s="21">
        <f t="shared" si="14"/>
        <v>46905</v>
      </c>
      <c r="C202" s="22">
        <f t="shared" si="19"/>
        <v>35986550.294489026</v>
      </c>
      <c r="D202" s="22">
        <f t="shared" si="15"/>
        <v>127452.36562631531</v>
      </c>
      <c r="E202" s="22">
        <f t="shared" si="16"/>
        <v>143266.6831421121</v>
      </c>
      <c r="F202" s="22">
        <f t="shared" si="17"/>
        <v>35843283.611346915</v>
      </c>
      <c r="G202" s="22">
        <f t="shared" si="20"/>
        <v>29812511.263534937</v>
      </c>
    </row>
    <row r="203" spans="1:7">
      <c r="A203" s="20">
        <f t="shared" si="18"/>
        <v>182</v>
      </c>
      <c r="B203" s="21">
        <f t="shared" si="14"/>
        <v>46935</v>
      </c>
      <c r="C203" s="22">
        <f t="shared" si="19"/>
        <v>35843283.611346915</v>
      </c>
      <c r="D203" s="22">
        <f t="shared" si="15"/>
        <v>126944.962790187</v>
      </c>
      <c r="E203" s="22">
        <f t="shared" si="16"/>
        <v>143774.08597824041</v>
      </c>
      <c r="F203" s="22">
        <f t="shared" si="17"/>
        <v>35699509.525368676</v>
      </c>
      <c r="G203" s="22">
        <f t="shared" si="20"/>
        <v>29939456.226325125</v>
      </c>
    </row>
    <row r="204" spans="1:7">
      <c r="A204" s="20">
        <f t="shared" si="18"/>
        <v>183</v>
      </c>
      <c r="B204" s="21">
        <f t="shared" si="14"/>
        <v>46966</v>
      </c>
      <c r="C204" s="22">
        <f t="shared" si="19"/>
        <v>35699509.525368676</v>
      </c>
      <c r="D204" s="22">
        <f t="shared" si="15"/>
        <v>126435.7629023474</v>
      </c>
      <c r="E204" s="22">
        <f t="shared" si="16"/>
        <v>144283.28586608</v>
      </c>
      <c r="F204" s="22">
        <f t="shared" si="17"/>
        <v>35555226.239502594</v>
      </c>
      <c r="G204" s="22">
        <f t="shared" si="20"/>
        <v>30065891.989227474</v>
      </c>
    </row>
    <row r="205" spans="1:7">
      <c r="A205" s="20">
        <f t="shared" si="18"/>
        <v>184</v>
      </c>
      <c r="B205" s="21">
        <f t="shared" si="14"/>
        <v>46997</v>
      </c>
      <c r="C205" s="22">
        <f t="shared" si="19"/>
        <v>35555226.239502594</v>
      </c>
      <c r="D205" s="22">
        <f t="shared" si="15"/>
        <v>125924.75959823836</v>
      </c>
      <c r="E205" s="22">
        <f t="shared" si="16"/>
        <v>144794.28917018903</v>
      </c>
      <c r="F205" s="22">
        <f t="shared" si="17"/>
        <v>35410431.950332403</v>
      </c>
      <c r="G205" s="22">
        <f t="shared" si="20"/>
        <v>30191816.74882571</v>
      </c>
    </row>
    <row r="206" spans="1:7">
      <c r="A206" s="20">
        <f t="shared" si="18"/>
        <v>185</v>
      </c>
      <c r="B206" s="21">
        <f t="shared" si="14"/>
        <v>47027</v>
      </c>
      <c r="C206" s="22">
        <f t="shared" si="19"/>
        <v>35410431.950332403</v>
      </c>
      <c r="D206" s="22">
        <f t="shared" si="15"/>
        <v>125411.9464907606</v>
      </c>
      <c r="E206" s="22">
        <f t="shared" si="16"/>
        <v>145307.1022776668</v>
      </c>
      <c r="F206" s="22">
        <f t="shared" si="17"/>
        <v>35265124.848054737</v>
      </c>
      <c r="G206" s="22">
        <f t="shared" si="20"/>
        <v>30317228.695316471</v>
      </c>
    </row>
    <row r="207" spans="1:7">
      <c r="A207" s="20">
        <f t="shared" si="18"/>
        <v>186</v>
      </c>
      <c r="B207" s="21">
        <f t="shared" si="14"/>
        <v>47058</v>
      </c>
      <c r="C207" s="22">
        <f t="shared" si="19"/>
        <v>35265124.848054737</v>
      </c>
      <c r="D207" s="22">
        <f t="shared" si="15"/>
        <v>124897.31717019387</v>
      </c>
      <c r="E207" s="22">
        <f t="shared" si="16"/>
        <v>145821.73159823351</v>
      </c>
      <c r="F207" s="22">
        <f t="shared" si="17"/>
        <v>35119303.116456501</v>
      </c>
      <c r="G207" s="22">
        <f t="shared" si="20"/>
        <v>30442126.012486666</v>
      </c>
    </row>
    <row r="208" spans="1:7">
      <c r="A208" s="20">
        <f t="shared" si="18"/>
        <v>187</v>
      </c>
      <c r="B208" s="21">
        <f t="shared" si="14"/>
        <v>47088</v>
      </c>
      <c r="C208" s="22">
        <f t="shared" si="19"/>
        <v>35119303.116456501</v>
      </c>
      <c r="D208" s="22">
        <f t="shared" si="15"/>
        <v>124380.86520411678</v>
      </c>
      <c r="E208" s="22">
        <f t="shared" si="16"/>
        <v>146338.1835643106</v>
      </c>
      <c r="F208" s="22">
        <f t="shared" si="17"/>
        <v>34972964.932892188</v>
      </c>
      <c r="G208" s="22">
        <f t="shared" si="20"/>
        <v>30566506.877690785</v>
      </c>
    </row>
    <row r="209" spans="1:7">
      <c r="A209" s="20">
        <f t="shared" si="18"/>
        <v>188</v>
      </c>
      <c r="B209" s="21">
        <f t="shared" si="14"/>
        <v>47119</v>
      </c>
      <c r="C209" s="22">
        <f t="shared" si="19"/>
        <v>34972964.932892188</v>
      </c>
      <c r="D209" s="22">
        <f t="shared" si="15"/>
        <v>123862.58413732651</v>
      </c>
      <c r="E209" s="22">
        <f t="shared" si="16"/>
        <v>146856.46463110088</v>
      </c>
      <c r="F209" s="22">
        <f t="shared" si="17"/>
        <v>34826108.468261085</v>
      </c>
      <c r="G209" s="22">
        <f t="shared" si="20"/>
        <v>30690369.461828113</v>
      </c>
    </row>
    <row r="210" spans="1:7">
      <c r="A210" s="20">
        <f t="shared" si="18"/>
        <v>189</v>
      </c>
      <c r="B210" s="21">
        <f t="shared" si="14"/>
        <v>47150</v>
      </c>
      <c r="C210" s="22">
        <f t="shared" si="19"/>
        <v>34826108.468261085</v>
      </c>
      <c r="D210" s="22">
        <f t="shared" si="15"/>
        <v>123342.46749175803</v>
      </c>
      <c r="E210" s="22">
        <f t="shared" si="16"/>
        <v>147376.58127666937</v>
      </c>
      <c r="F210" s="22">
        <f t="shared" si="17"/>
        <v>34678731.886984415</v>
      </c>
      <c r="G210" s="22">
        <f t="shared" si="20"/>
        <v>30813711.92931987</v>
      </c>
    </row>
    <row r="211" spans="1:7">
      <c r="A211" s="20">
        <f t="shared" si="18"/>
        <v>190</v>
      </c>
      <c r="B211" s="21">
        <f t="shared" si="14"/>
        <v>47178</v>
      </c>
      <c r="C211" s="22">
        <f t="shared" si="19"/>
        <v>34678731.886984415</v>
      </c>
      <c r="D211" s="22">
        <f t="shared" si="15"/>
        <v>122820.50876640315</v>
      </c>
      <c r="E211" s="22">
        <f t="shared" si="16"/>
        <v>147898.54000202427</v>
      </c>
      <c r="F211" s="22">
        <f t="shared" si="17"/>
        <v>34530833.34698239</v>
      </c>
      <c r="G211" s="22">
        <f t="shared" si="20"/>
        <v>30936532.438086271</v>
      </c>
    </row>
    <row r="212" spans="1:7">
      <c r="A212" s="20">
        <f t="shared" si="18"/>
        <v>191</v>
      </c>
      <c r="B212" s="21">
        <f t="shared" si="14"/>
        <v>47209</v>
      </c>
      <c r="C212" s="22">
        <f t="shared" si="19"/>
        <v>34530833.34698239</v>
      </c>
      <c r="D212" s="22">
        <f t="shared" si="15"/>
        <v>122296.70143722931</v>
      </c>
      <c r="E212" s="22">
        <f t="shared" si="16"/>
        <v>148422.34733119811</v>
      </c>
      <c r="F212" s="22">
        <f t="shared" si="17"/>
        <v>34382410.999651194</v>
      </c>
      <c r="G212" s="22">
        <f t="shared" si="20"/>
        <v>31058829.139523502</v>
      </c>
    </row>
    <row r="213" spans="1:7">
      <c r="A213" s="20">
        <f t="shared" si="18"/>
        <v>192</v>
      </c>
      <c r="B213" s="21">
        <f t="shared" si="14"/>
        <v>47239</v>
      </c>
      <c r="C213" s="22">
        <f t="shared" si="19"/>
        <v>34382410.999651194</v>
      </c>
      <c r="D213" s="22">
        <f t="shared" si="15"/>
        <v>121771.03895709799</v>
      </c>
      <c r="E213" s="22">
        <f t="shared" si="16"/>
        <v>148948.00981132942</v>
      </c>
      <c r="F213" s="22">
        <f t="shared" si="17"/>
        <v>34233462.989839867</v>
      </c>
      <c r="G213" s="22">
        <f t="shared" si="20"/>
        <v>31180600.178480599</v>
      </c>
    </row>
    <row r="214" spans="1:7">
      <c r="A214" s="20">
        <f t="shared" si="18"/>
        <v>193</v>
      </c>
      <c r="B214" s="21">
        <f t="shared" ref="B214:B277" si="21">Show.Date</f>
        <v>47270</v>
      </c>
      <c r="C214" s="22">
        <f t="shared" si="19"/>
        <v>34233462.989839867</v>
      </c>
      <c r="D214" s="22">
        <f t="shared" ref="D214:D277" si="22">Interest</f>
        <v>121243.51475568287</v>
      </c>
      <c r="E214" s="22">
        <f t="shared" ref="E214:E277" si="23">Principal+H214</f>
        <v>149475.53401274452</v>
      </c>
      <c r="F214" s="22">
        <f t="shared" ref="F214:F277" si="24">Ending.Balance</f>
        <v>34083987.455827124</v>
      </c>
      <c r="G214" s="22">
        <f t="shared" si="20"/>
        <v>31301843.69323628</v>
      </c>
    </row>
    <row r="215" spans="1:7">
      <c r="A215" s="20">
        <f t="shared" ref="A215:A278" si="25">payment.Num</f>
        <v>194</v>
      </c>
      <c r="B215" s="21">
        <f t="shared" si="21"/>
        <v>47300</v>
      </c>
      <c r="C215" s="22">
        <f t="shared" ref="C215:C278" si="26">Beg.Bal</f>
        <v>34083987.455827124</v>
      </c>
      <c r="D215" s="22">
        <f t="shared" si="22"/>
        <v>120714.12223938774</v>
      </c>
      <c r="E215" s="22">
        <f t="shared" si="23"/>
        <v>150004.92652903966</v>
      </c>
      <c r="F215" s="22">
        <f t="shared" si="24"/>
        <v>33933982.529298082</v>
      </c>
      <c r="G215" s="22">
        <f t="shared" ref="G215:G278" si="27">Cum.Interest</f>
        <v>31422557.815475669</v>
      </c>
    </row>
    <row r="216" spans="1:7">
      <c r="A216" s="20">
        <f t="shared" si="25"/>
        <v>195</v>
      </c>
      <c r="B216" s="21">
        <f t="shared" si="21"/>
        <v>47331</v>
      </c>
      <c r="C216" s="22">
        <f t="shared" si="26"/>
        <v>33933982.529298082</v>
      </c>
      <c r="D216" s="22">
        <f t="shared" si="22"/>
        <v>120182.85479126405</v>
      </c>
      <c r="E216" s="22">
        <f t="shared" si="23"/>
        <v>150536.19397716335</v>
      </c>
      <c r="F216" s="22">
        <f t="shared" si="24"/>
        <v>33783446.33532092</v>
      </c>
      <c r="G216" s="22">
        <f t="shared" si="27"/>
        <v>31542740.670266934</v>
      </c>
    </row>
    <row r="217" spans="1:7">
      <c r="A217" s="20">
        <f t="shared" si="25"/>
        <v>196</v>
      </c>
      <c r="B217" s="21">
        <f t="shared" si="21"/>
        <v>47362</v>
      </c>
      <c r="C217" s="22">
        <f t="shared" si="26"/>
        <v>33783446.33532092</v>
      </c>
      <c r="D217" s="22">
        <f t="shared" si="22"/>
        <v>119649.70577092827</v>
      </c>
      <c r="E217" s="22">
        <f t="shared" si="23"/>
        <v>151069.34299749913</v>
      </c>
      <c r="F217" s="22">
        <f t="shared" si="24"/>
        <v>33632376.992323421</v>
      </c>
      <c r="G217" s="22">
        <f t="shared" si="27"/>
        <v>31662390.376037862</v>
      </c>
    </row>
    <row r="218" spans="1:7">
      <c r="A218" s="20">
        <f t="shared" si="25"/>
        <v>197</v>
      </c>
      <c r="B218" s="21">
        <f t="shared" si="21"/>
        <v>47392</v>
      </c>
      <c r="C218" s="22">
        <f t="shared" si="26"/>
        <v>33632376.992323421</v>
      </c>
      <c r="D218" s="22">
        <f t="shared" si="22"/>
        <v>119114.66851447879</v>
      </c>
      <c r="E218" s="22">
        <f t="shared" si="23"/>
        <v>151604.38025394862</v>
      </c>
      <c r="F218" s="22">
        <f t="shared" si="24"/>
        <v>33480772.612069473</v>
      </c>
      <c r="G218" s="22">
        <f t="shared" si="27"/>
        <v>31781505.044552341</v>
      </c>
    </row>
    <row r="219" spans="1:7">
      <c r="A219" s="20">
        <f t="shared" si="25"/>
        <v>198</v>
      </c>
      <c r="B219" s="21">
        <f t="shared" si="21"/>
        <v>47423</v>
      </c>
      <c r="C219" s="22">
        <f t="shared" si="26"/>
        <v>33480772.612069473</v>
      </c>
      <c r="D219" s="22">
        <f t="shared" si="22"/>
        <v>118577.73633441272</v>
      </c>
      <c r="E219" s="22">
        <f t="shared" si="23"/>
        <v>152141.31243401469</v>
      </c>
      <c r="F219" s="22">
        <f t="shared" si="24"/>
        <v>33328631.299635459</v>
      </c>
      <c r="G219" s="22">
        <f t="shared" si="27"/>
        <v>31900082.780886754</v>
      </c>
    </row>
    <row r="220" spans="1:7">
      <c r="A220" s="20">
        <f t="shared" si="25"/>
        <v>199</v>
      </c>
      <c r="B220" s="21">
        <f t="shared" si="21"/>
        <v>47453</v>
      </c>
      <c r="C220" s="22">
        <f t="shared" si="26"/>
        <v>33328631.299635459</v>
      </c>
      <c r="D220" s="22">
        <f t="shared" si="22"/>
        <v>118038.90251954226</v>
      </c>
      <c r="E220" s="22">
        <f t="shared" si="23"/>
        <v>152680.14624888514</v>
      </c>
      <c r="F220" s="22">
        <f t="shared" si="24"/>
        <v>33175951.153386574</v>
      </c>
      <c r="G220" s="22">
        <f t="shared" si="27"/>
        <v>32018121.683406297</v>
      </c>
    </row>
    <row r="221" spans="1:7">
      <c r="A221" s="20">
        <f t="shared" si="25"/>
        <v>200</v>
      </c>
      <c r="B221" s="21">
        <f t="shared" si="21"/>
        <v>47484</v>
      </c>
      <c r="C221" s="22">
        <f t="shared" si="26"/>
        <v>33175951.153386574</v>
      </c>
      <c r="D221" s="22">
        <f t="shared" si="22"/>
        <v>117498.16033491079</v>
      </c>
      <c r="E221" s="22">
        <f t="shared" si="23"/>
        <v>153220.88843351661</v>
      </c>
      <c r="F221" s="22">
        <f t="shared" si="24"/>
        <v>33022730.264953058</v>
      </c>
      <c r="G221" s="22">
        <f t="shared" si="27"/>
        <v>32135619.843741208</v>
      </c>
    </row>
    <row r="222" spans="1:7">
      <c r="A222" s="20">
        <f t="shared" si="25"/>
        <v>201</v>
      </c>
      <c r="B222" s="21">
        <f t="shared" si="21"/>
        <v>47515</v>
      </c>
      <c r="C222" s="22">
        <f t="shared" si="26"/>
        <v>33022730.264953058</v>
      </c>
      <c r="D222" s="22">
        <f t="shared" si="22"/>
        <v>116955.50302170876</v>
      </c>
      <c r="E222" s="22">
        <f t="shared" si="23"/>
        <v>153763.54574671865</v>
      </c>
      <c r="F222" s="22">
        <f t="shared" si="24"/>
        <v>32868966.719206341</v>
      </c>
      <c r="G222" s="22">
        <f t="shared" si="27"/>
        <v>32252575.346762918</v>
      </c>
    </row>
    <row r="223" spans="1:7">
      <c r="A223" s="20">
        <f t="shared" si="25"/>
        <v>202</v>
      </c>
      <c r="B223" s="21">
        <f t="shared" si="21"/>
        <v>47543</v>
      </c>
      <c r="C223" s="22">
        <f t="shared" si="26"/>
        <v>32868966.719206341</v>
      </c>
      <c r="D223" s="22">
        <f t="shared" si="22"/>
        <v>116410.92379718913</v>
      </c>
      <c r="E223" s="22">
        <f t="shared" si="23"/>
        <v>154308.12497123826</v>
      </c>
      <c r="F223" s="22">
        <f t="shared" si="24"/>
        <v>32714658.594235104</v>
      </c>
      <c r="G223" s="22">
        <f t="shared" si="27"/>
        <v>32368986.270560108</v>
      </c>
    </row>
    <row r="224" spans="1:7">
      <c r="A224" s="20">
        <f t="shared" si="25"/>
        <v>203</v>
      </c>
      <c r="B224" s="21">
        <f t="shared" si="21"/>
        <v>47574</v>
      </c>
      <c r="C224" s="22">
        <f t="shared" si="26"/>
        <v>32714658.594235104</v>
      </c>
      <c r="D224" s="22">
        <f t="shared" si="22"/>
        <v>115864.41585458266</v>
      </c>
      <c r="E224" s="22">
        <f t="shared" si="23"/>
        <v>154854.63291384472</v>
      </c>
      <c r="F224" s="22">
        <f t="shared" si="24"/>
        <v>32559803.961321257</v>
      </c>
      <c r="G224" s="22">
        <f t="shared" si="27"/>
        <v>32484850.686414693</v>
      </c>
    </row>
    <row r="225" spans="1:7">
      <c r="A225" s="20">
        <f t="shared" si="25"/>
        <v>204</v>
      </c>
      <c r="B225" s="21">
        <f t="shared" si="21"/>
        <v>47604</v>
      </c>
      <c r="C225" s="22">
        <f t="shared" si="26"/>
        <v>32559803.961321257</v>
      </c>
      <c r="D225" s="22">
        <f t="shared" si="22"/>
        <v>115315.9723630128</v>
      </c>
      <c r="E225" s="22">
        <f t="shared" si="23"/>
        <v>155403.07640541461</v>
      </c>
      <c r="F225" s="22">
        <f t="shared" si="24"/>
        <v>32404400.884915844</v>
      </c>
      <c r="G225" s="22">
        <f t="shared" si="27"/>
        <v>32600166.658777706</v>
      </c>
    </row>
    <row r="226" spans="1:7">
      <c r="A226" s="20">
        <f t="shared" si="25"/>
        <v>205</v>
      </c>
      <c r="B226" s="21">
        <f t="shared" si="21"/>
        <v>47635</v>
      </c>
      <c r="C226" s="22">
        <f t="shared" si="26"/>
        <v>32404400.884915844</v>
      </c>
      <c r="D226" s="22">
        <f t="shared" si="22"/>
        <v>114765.58646741029</v>
      </c>
      <c r="E226" s="22">
        <f t="shared" si="23"/>
        <v>155953.46230101711</v>
      </c>
      <c r="F226" s="22">
        <f t="shared" si="24"/>
        <v>32248447.422614828</v>
      </c>
      <c r="G226" s="22">
        <f t="shared" si="27"/>
        <v>32714932.245245118</v>
      </c>
    </row>
    <row r="227" spans="1:7">
      <c r="A227" s="20">
        <f t="shared" si="25"/>
        <v>206</v>
      </c>
      <c r="B227" s="21">
        <f t="shared" si="21"/>
        <v>47665</v>
      </c>
      <c r="C227" s="22">
        <f t="shared" si="26"/>
        <v>32248447.422614828</v>
      </c>
      <c r="D227" s="22">
        <f t="shared" si="22"/>
        <v>114213.25128842752</v>
      </c>
      <c r="E227" s="22">
        <f t="shared" si="23"/>
        <v>156505.79747999989</v>
      </c>
      <c r="F227" s="22">
        <f t="shared" si="24"/>
        <v>32091941.625134829</v>
      </c>
      <c r="G227" s="22">
        <f t="shared" si="27"/>
        <v>32829145.496533547</v>
      </c>
    </row>
    <row r="228" spans="1:7">
      <c r="A228" s="20">
        <f t="shared" si="25"/>
        <v>207</v>
      </c>
      <c r="B228" s="21">
        <f t="shared" si="21"/>
        <v>47696</v>
      </c>
      <c r="C228" s="22">
        <f t="shared" si="26"/>
        <v>32091941.625134829</v>
      </c>
      <c r="D228" s="22">
        <f t="shared" si="22"/>
        <v>113658.95992235253</v>
      </c>
      <c r="E228" s="22">
        <f t="shared" si="23"/>
        <v>157060.08884607488</v>
      </c>
      <c r="F228" s="22">
        <f t="shared" si="24"/>
        <v>31934881.536288753</v>
      </c>
      <c r="G228" s="22">
        <f t="shared" si="27"/>
        <v>32942804.456455898</v>
      </c>
    </row>
    <row r="229" spans="1:7">
      <c r="A229" s="20">
        <f t="shared" si="25"/>
        <v>208</v>
      </c>
      <c r="B229" s="21">
        <f t="shared" si="21"/>
        <v>47727</v>
      </c>
      <c r="C229" s="22">
        <f t="shared" si="26"/>
        <v>31934881.536288753</v>
      </c>
      <c r="D229" s="22">
        <f t="shared" si="22"/>
        <v>113102.70544102267</v>
      </c>
      <c r="E229" s="22">
        <f t="shared" si="23"/>
        <v>157616.34332740473</v>
      </c>
      <c r="F229" s="22">
        <f t="shared" si="24"/>
        <v>31777265.19296135</v>
      </c>
      <c r="G229" s="22">
        <f t="shared" si="27"/>
        <v>33055907.161896922</v>
      </c>
    </row>
    <row r="230" spans="1:7">
      <c r="A230" s="20">
        <f t="shared" si="25"/>
        <v>209</v>
      </c>
      <c r="B230" s="21">
        <f t="shared" si="21"/>
        <v>47757</v>
      </c>
      <c r="C230" s="22">
        <f t="shared" si="26"/>
        <v>31777265.19296135</v>
      </c>
      <c r="D230" s="22">
        <f t="shared" si="22"/>
        <v>112544.48089173812</v>
      </c>
      <c r="E230" s="22">
        <f t="shared" si="23"/>
        <v>158174.56787668928</v>
      </c>
      <c r="F230" s="22">
        <f t="shared" si="24"/>
        <v>31619090.625084661</v>
      </c>
      <c r="G230" s="22">
        <f t="shared" si="27"/>
        <v>33168451.64278866</v>
      </c>
    </row>
    <row r="231" spans="1:7">
      <c r="A231" s="20">
        <f t="shared" si="25"/>
        <v>210</v>
      </c>
      <c r="B231" s="21">
        <f t="shared" si="21"/>
        <v>47788</v>
      </c>
      <c r="C231" s="22">
        <f t="shared" si="26"/>
        <v>31619090.625084661</v>
      </c>
      <c r="D231" s="22">
        <f t="shared" si="22"/>
        <v>111984.27929717484</v>
      </c>
      <c r="E231" s="22">
        <f t="shared" si="23"/>
        <v>158734.76947125257</v>
      </c>
      <c r="F231" s="22">
        <f t="shared" si="24"/>
        <v>31460355.855613407</v>
      </c>
      <c r="G231" s="22">
        <f t="shared" si="27"/>
        <v>33280435.922085833</v>
      </c>
    </row>
    <row r="232" spans="1:7">
      <c r="A232" s="20">
        <f t="shared" si="25"/>
        <v>211</v>
      </c>
      <c r="B232" s="21">
        <f t="shared" si="21"/>
        <v>47818</v>
      </c>
      <c r="C232" s="22">
        <f t="shared" si="26"/>
        <v>31460355.855613407</v>
      </c>
      <c r="D232" s="22">
        <f t="shared" si="22"/>
        <v>111422.09365529749</v>
      </c>
      <c r="E232" s="22">
        <f t="shared" si="23"/>
        <v>159296.95511312992</v>
      </c>
      <c r="F232" s="22">
        <f t="shared" si="24"/>
        <v>31301058.900500275</v>
      </c>
      <c r="G232" s="22">
        <f t="shared" si="27"/>
        <v>33391858.015741128</v>
      </c>
    </row>
    <row r="233" spans="1:7">
      <c r="A233" s="20">
        <f t="shared" si="25"/>
        <v>212</v>
      </c>
      <c r="B233" s="21">
        <f t="shared" si="21"/>
        <v>47849</v>
      </c>
      <c r="C233" s="22">
        <f t="shared" si="26"/>
        <v>31301058.900500275</v>
      </c>
      <c r="D233" s="22">
        <f t="shared" si="22"/>
        <v>110857.91693927182</v>
      </c>
      <c r="E233" s="22">
        <f t="shared" si="23"/>
        <v>159861.13182915558</v>
      </c>
      <c r="F233" s="22">
        <f t="shared" si="24"/>
        <v>31141197.768671121</v>
      </c>
      <c r="G233" s="22">
        <f t="shared" si="27"/>
        <v>33502715.932680402</v>
      </c>
    </row>
    <row r="234" spans="1:7">
      <c r="A234" s="20">
        <f t="shared" si="25"/>
        <v>213</v>
      </c>
      <c r="B234" s="21">
        <f t="shared" si="21"/>
        <v>47880</v>
      </c>
      <c r="C234" s="22">
        <f t="shared" si="26"/>
        <v>31141197.768671121</v>
      </c>
      <c r="D234" s="22">
        <f t="shared" si="22"/>
        <v>110291.74209737689</v>
      </c>
      <c r="E234" s="22">
        <f t="shared" si="23"/>
        <v>160427.30667105049</v>
      </c>
      <c r="F234" s="22">
        <f t="shared" si="24"/>
        <v>30980770.462000072</v>
      </c>
      <c r="G234" s="22">
        <f t="shared" si="27"/>
        <v>33613007.674777776</v>
      </c>
    </row>
    <row r="235" spans="1:7">
      <c r="A235" s="20">
        <f t="shared" si="25"/>
        <v>214</v>
      </c>
      <c r="B235" s="21">
        <f t="shared" si="21"/>
        <v>47908</v>
      </c>
      <c r="C235" s="22">
        <f t="shared" si="26"/>
        <v>30980770.462000072</v>
      </c>
      <c r="D235" s="22">
        <f t="shared" si="22"/>
        <v>109723.56205291692</v>
      </c>
      <c r="E235" s="22">
        <f t="shared" si="23"/>
        <v>160995.48671551049</v>
      </c>
      <c r="F235" s="22">
        <f t="shared" si="24"/>
        <v>30819774.975284562</v>
      </c>
      <c r="G235" s="22">
        <f t="shared" si="27"/>
        <v>33722731.236830696</v>
      </c>
    </row>
    <row r="236" spans="1:7">
      <c r="A236" s="20">
        <f t="shared" si="25"/>
        <v>215</v>
      </c>
      <c r="B236" s="21">
        <f t="shared" si="21"/>
        <v>47939</v>
      </c>
      <c r="C236" s="22">
        <f t="shared" si="26"/>
        <v>30819774.975284562</v>
      </c>
      <c r="D236" s="22">
        <f t="shared" si="22"/>
        <v>109153.36970413283</v>
      </c>
      <c r="E236" s="22">
        <f t="shared" si="23"/>
        <v>161565.67906429456</v>
      </c>
      <c r="F236" s="22">
        <f t="shared" si="24"/>
        <v>30658209.296220265</v>
      </c>
      <c r="G236" s="22">
        <f t="shared" si="27"/>
        <v>33831884.606534831</v>
      </c>
    </row>
    <row r="237" spans="1:7">
      <c r="A237" s="20">
        <f t="shared" si="25"/>
        <v>216</v>
      </c>
      <c r="B237" s="21">
        <f t="shared" si="21"/>
        <v>47969</v>
      </c>
      <c r="C237" s="22">
        <f t="shared" si="26"/>
        <v>30658209.296220265</v>
      </c>
      <c r="D237" s="22">
        <f t="shared" si="22"/>
        <v>108581.15792411345</v>
      </c>
      <c r="E237" s="22">
        <f t="shared" si="23"/>
        <v>162137.89084431395</v>
      </c>
      <c r="F237" s="22">
        <f t="shared" si="24"/>
        <v>30496071.40537595</v>
      </c>
      <c r="G237" s="22">
        <f t="shared" si="27"/>
        <v>33940465.764458947</v>
      </c>
    </row>
    <row r="238" spans="1:7">
      <c r="A238" s="20">
        <f t="shared" si="25"/>
        <v>217</v>
      </c>
      <c r="B238" s="21">
        <f t="shared" si="21"/>
        <v>48000</v>
      </c>
      <c r="C238" s="22">
        <f t="shared" si="26"/>
        <v>30496071.40537595</v>
      </c>
      <c r="D238" s="22">
        <f t="shared" si="22"/>
        <v>108006.91956070649</v>
      </c>
      <c r="E238" s="22">
        <f t="shared" si="23"/>
        <v>162712.12920772092</v>
      </c>
      <c r="F238" s="22">
        <f t="shared" si="24"/>
        <v>30333359.276168231</v>
      </c>
      <c r="G238" s="22">
        <f t="shared" si="27"/>
        <v>34048472.684019655</v>
      </c>
    </row>
    <row r="239" spans="1:7">
      <c r="A239" s="20">
        <f t="shared" si="25"/>
        <v>218</v>
      </c>
      <c r="B239" s="21">
        <f t="shared" si="21"/>
        <v>48030</v>
      </c>
      <c r="C239" s="22">
        <f t="shared" si="26"/>
        <v>30333359.276168231</v>
      </c>
      <c r="D239" s="22">
        <f t="shared" si="22"/>
        <v>107430.64743642916</v>
      </c>
      <c r="E239" s="22">
        <f t="shared" si="23"/>
        <v>163288.40133199823</v>
      </c>
      <c r="F239" s="22">
        <f t="shared" si="24"/>
        <v>30170070.874836233</v>
      </c>
      <c r="G239" s="22">
        <f t="shared" si="27"/>
        <v>34155903.331456088</v>
      </c>
    </row>
    <row r="240" spans="1:7">
      <c r="A240" s="20">
        <f t="shared" si="25"/>
        <v>219</v>
      </c>
      <c r="B240" s="21">
        <f t="shared" si="21"/>
        <v>48061</v>
      </c>
      <c r="C240" s="22">
        <f t="shared" si="26"/>
        <v>30170070.874836233</v>
      </c>
      <c r="D240" s="22">
        <f t="shared" si="22"/>
        <v>106852.33434837832</v>
      </c>
      <c r="E240" s="22">
        <f t="shared" si="23"/>
        <v>163866.71442004907</v>
      </c>
      <c r="F240" s="22">
        <f t="shared" si="24"/>
        <v>30006204.160416182</v>
      </c>
      <c r="G240" s="22">
        <f t="shared" si="27"/>
        <v>34262755.665804468</v>
      </c>
    </row>
    <row r="241" spans="1:7">
      <c r="A241" s="20">
        <f t="shared" si="25"/>
        <v>220</v>
      </c>
      <c r="B241" s="21">
        <f t="shared" si="21"/>
        <v>48092</v>
      </c>
      <c r="C241" s="22">
        <f t="shared" si="26"/>
        <v>30006204.160416182</v>
      </c>
      <c r="D241" s="22">
        <f t="shared" si="22"/>
        <v>106271.97306814065</v>
      </c>
      <c r="E241" s="22">
        <f t="shared" si="23"/>
        <v>164447.07570028675</v>
      </c>
      <c r="F241" s="22">
        <f t="shared" si="24"/>
        <v>29841757.084715895</v>
      </c>
      <c r="G241" s="22">
        <f t="shared" si="27"/>
        <v>34369027.638872609</v>
      </c>
    </row>
    <row r="242" spans="1:7">
      <c r="A242" s="20">
        <f t="shared" si="25"/>
        <v>221</v>
      </c>
      <c r="B242" s="21">
        <f t="shared" si="21"/>
        <v>48122</v>
      </c>
      <c r="C242" s="22">
        <f t="shared" si="26"/>
        <v>29841757.084715895</v>
      </c>
      <c r="D242" s="22">
        <f t="shared" si="22"/>
        <v>105689.55634170213</v>
      </c>
      <c r="E242" s="22">
        <f t="shared" si="23"/>
        <v>165029.49242672528</v>
      </c>
      <c r="F242" s="22">
        <f t="shared" si="24"/>
        <v>29676727.592289168</v>
      </c>
      <c r="G242" s="22">
        <f t="shared" si="27"/>
        <v>34474717.195214309</v>
      </c>
    </row>
    <row r="243" spans="1:7">
      <c r="A243" s="20">
        <f t="shared" si="25"/>
        <v>222</v>
      </c>
      <c r="B243" s="21">
        <f t="shared" si="21"/>
        <v>48153</v>
      </c>
      <c r="C243" s="22">
        <f t="shared" si="26"/>
        <v>29676727.592289168</v>
      </c>
      <c r="D243" s="22">
        <f t="shared" si="22"/>
        <v>105105.07688935749</v>
      </c>
      <c r="E243" s="22">
        <f t="shared" si="23"/>
        <v>165613.97187906993</v>
      </c>
      <c r="F243" s="22">
        <f t="shared" si="24"/>
        <v>29511113.6204101</v>
      </c>
      <c r="G243" s="22">
        <f t="shared" si="27"/>
        <v>34579822.272103667</v>
      </c>
    </row>
    <row r="244" spans="1:7">
      <c r="A244" s="20">
        <f t="shared" si="25"/>
        <v>223</v>
      </c>
      <c r="B244" s="21">
        <f t="shared" si="21"/>
        <v>48183</v>
      </c>
      <c r="C244" s="22">
        <f t="shared" si="26"/>
        <v>29511113.6204101</v>
      </c>
      <c r="D244" s="22">
        <f t="shared" si="22"/>
        <v>104518.52740561911</v>
      </c>
      <c r="E244" s="22">
        <f t="shared" si="23"/>
        <v>166200.5213628083</v>
      </c>
      <c r="F244" s="22">
        <f t="shared" si="24"/>
        <v>29344913.099047292</v>
      </c>
      <c r="G244" s="22">
        <f t="shared" si="27"/>
        <v>34684340.799509287</v>
      </c>
    </row>
    <row r="245" spans="1:7">
      <c r="A245" s="20">
        <f t="shared" si="25"/>
        <v>224</v>
      </c>
      <c r="B245" s="21">
        <f t="shared" si="21"/>
        <v>48214</v>
      </c>
      <c r="C245" s="22">
        <f t="shared" si="26"/>
        <v>29344913.099047292</v>
      </c>
      <c r="D245" s="22">
        <f t="shared" si="22"/>
        <v>103929.90055912583</v>
      </c>
      <c r="E245" s="22">
        <f t="shared" si="23"/>
        <v>166789.14820930158</v>
      </c>
      <c r="F245" s="22">
        <f t="shared" si="24"/>
        <v>29178123.950837992</v>
      </c>
      <c r="G245" s="22">
        <f t="shared" si="27"/>
        <v>34788270.700068414</v>
      </c>
    </row>
    <row r="246" spans="1:7">
      <c r="A246" s="20">
        <f t="shared" si="25"/>
        <v>225</v>
      </c>
      <c r="B246" s="21">
        <f t="shared" si="21"/>
        <v>48245</v>
      </c>
      <c r="C246" s="22">
        <f t="shared" si="26"/>
        <v>29178123.950837992</v>
      </c>
      <c r="D246" s="22">
        <f t="shared" si="22"/>
        <v>103339.18899255122</v>
      </c>
      <c r="E246" s="22">
        <f t="shared" si="23"/>
        <v>167379.85977587616</v>
      </c>
      <c r="F246" s="22">
        <f t="shared" si="24"/>
        <v>29010744.091062117</v>
      </c>
      <c r="G246" s="22">
        <f t="shared" si="27"/>
        <v>34891609.889060967</v>
      </c>
    </row>
    <row r="247" spans="1:7">
      <c r="A247" s="20">
        <f t="shared" si="25"/>
        <v>226</v>
      </c>
      <c r="B247" s="21">
        <f t="shared" si="21"/>
        <v>48274</v>
      </c>
      <c r="C247" s="22">
        <f t="shared" si="26"/>
        <v>29010744.091062117</v>
      </c>
      <c r="D247" s="22">
        <f t="shared" si="22"/>
        <v>102746.38532251168</v>
      </c>
      <c r="E247" s="22">
        <f t="shared" si="23"/>
        <v>167972.66344591574</v>
      </c>
      <c r="F247" s="22">
        <f t="shared" si="24"/>
        <v>28842771.427616201</v>
      </c>
      <c r="G247" s="22">
        <f t="shared" si="27"/>
        <v>34994356.274383478</v>
      </c>
    </row>
    <row r="248" spans="1:7">
      <c r="A248" s="20">
        <f t="shared" si="25"/>
        <v>227</v>
      </c>
      <c r="B248" s="21">
        <f t="shared" si="21"/>
        <v>48305</v>
      </c>
      <c r="C248" s="22">
        <f t="shared" si="26"/>
        <v>28842771.427616201</v>
      </c>
      <c r="D248" s="22">
        <f t="shared" si="22"/>
        <v>102151.48213947406</v>
      </c>
      <c r="E248" s="22">
        <f t="shared" si="23"/>
        <v>168567.56662895333</v>
      </c>
      <c r="F248" s="22">
        <f t="shared" si="24"/>
        <v>28674203.86098725</v>
      </c>
      <c r="G248" s="22">
        <f t="shared" si="27"/>
        <v>35096507.756522954</v>
      </c>
    </row>
    <row r="249" spans="1:7">
      <c r="A249" s="20">
        <f t="shared" si="25"/>
        <v>228</v>
      </c>
      <c r="B249" s="21">
        <f t="shared" si="21"/>
        <v>48335</v>
      </c>
      <c r="C249" s="22">
        <f t="shared" si="26"/>
        <v>28674203.86098725</v>
      </c>
      <c r="D249" s="22">
        <f t="shared" si="22"/>
        <v>101554.47200766318</v>
      </c>
      <c r="E249" s="22">
        <f t="shared" si="23"/>
        <v>169164.57676076423</v>
      </c>
      <c r="F249" s="22">
        <f t="shared" si="24"/>
        <v>28505039.284226485</v>
      </c>
      <c r="G249" s="22">
        <f t="shared" si="27"/>
        <v>35198062.228530616</v>
      </c>
    </row>
    <row r="250" spans="1:7">
      <c r="A250" s="20">
        <f t="shared" si="25"/>
        <v>229</v>
      </c>
      <c r="B250" s="21">
        <f t="shared" si="21"/>
        <v>48366</v>
      </c>
      <c r="C250" s="22">
        <f t="shared" si="26"/>
        <v>28505039.284226485</v>
      </c>
      <c r="D250" s="22">
        <f t="shared" si="22"/>
        <v>100955.3474649688</v>
      </c>
      <c r="E250" s="22">
        <f t="shared" si="23"/>
        <v>169763.7013034586</v>
      </c>
      <c r="F250" s="22">
        <f t="shared" si="24"/>
        <v>28335275.582923025</v>
      </c>
      <c r="G250" s="22">
        <f t="shared" si="27"/>
        <v>35299017.575995587</v>
      </c>
    </row>
    <row r="251" spans="1:7">
      <c r="A251" s="20">
        <f t="shared" si="25"/>
        <v>230</v>
      </c>
      <c r="B251" s="21">
        <f t="shared" si="21"/>
        <v>48396</v>
      </c>
      <c r="C251" s="22">
        <f t="shared" si="26"/>
        <v>28335275.582923025</v>
      </c>
      <c r="D251" s="22">
        <f t="shared" si="22"/>
        <v>100354.10102285238</v>
      </c>
      <c r="E251" s="22">
        <f t="shared" si="23"/>
        <v>170364.94774557502</v>
      </c>
      <c r="F251" s="22">
        <f t="shared" si="24"/>
        <v>28164910.635177448</v>
      </c>
      <c r="G251" s="22">
        <f t="shared" si="27"/>
        <v>35399371.677018441</v>
      </c>
    </row>
    <row r="252" spans="1:7">
      <c r="A252" s="20">
        <f t="shared" si="25"/>
        <v>231</v>
      </c>
      <c r="B252" s="21">
        <f t="shared" si="21"/>
        <v>48427</v>
      </c>
      <c r="C252" s="22">
        <f t="shared" si="26"/>
        <v>28164910.635177448</v>
      </c>
      <c r="D252" s="22">
        <f t="shared" si="22"/>
        <v>99750.725166253469</v>
      </c>
      <c r="E252" s="22">
        <f t="shared" si="23"/>
        <v>170968.32360217394</v>
      </c>
      <c r="F252" s="22">
        <f t="shared" si="24"/>
        <v>27993942.311575275</v>
      </c>
      <c r="G252" s="22">
        <f t="shared" si="27"/>
        <v>35499122.402184695</v>
      </c>
    </row>
    <row r="253" spans="1:7">
      <c r="A253" s="20">
        <f t="shared" si="25"/>
        <v>232</v>
      </c>
      <c r="B253" s="21">
        <f t="shared" si="21"/>
        <v>48458</v>
      </c>
      <c r="C253" s="22">
        <f t="shared" si="26"/>
        <v>27993942.311575275</v>
      </c>
      <c r="D253" s="22">
        <f t="shared" si="22"/>
        <v>99145.212353495779</v>
      </c>
      <c r="E253" s="22">
        <f t="shared" si="23"/>
        <v>171573.83641493163</v>
      </c>
      <c r="F253" s="22">
        <f t="shared" si="24"/>
        <v>27822368.475160342</v>
      </c>
      <c r="G253" s="22">
        <f t="shared" si="27"/>
        <v>35598267.614538193</v>
      </c>
    </row>
    <row r="254" spans="1:7">
      <c r="A254" s="20">
        <f t="shared" si="25"/>
        <v>233</v>
      </c>
      <c r="B254" s="21">
        <f t="shared" si="21"/>
        <v>48488</v>
      </c>
      <c r="C254" s="22">
        <f t="shared" si="26"/>
        <v>27822368.475160342</v>
      </c>
      <c r="D254" s="22">
        <f t="shared" si="22"/>
        <v>98537.555016192884</v>
      </c>
      <c r="E254" s="22">
        <f t="shared" si="23"/>
        <v>172181.4937522345</v>
      </c>
      <c r="F254" s="22">
        <f t="shared" si="24"/>
        <v>27650186.981408108</v>
      </c>
      <c r="G254" s="22">
        <f t="shared" si="27"/>
        <v>35696805.169554383</v>
      </c>
    </row>
    <row r="255" spans="1:7">
      <c r="A255" s="20">
        <f t="shared" si="25"/>
        <v>234</v>
      </c>
      <c r="B255" s="21">
        <f t="shared" si="21"/>
        <v>48519</v>
      </c>
      <c r="C255" s="22">
        <f t="shared" si="26"/>
        <v>27650186.981408108</v>
      </c>
      <c r="D255" s="22">
        <f t="shared" si="22"/>
        <v>97927.745559153729</v>
      </c>
      <c r="E255" s="22">
        <f t="shared" si="23"/>
        <v>172791.30320927367</v>
      </c>
      <c r="F255" s="22">
        <f t="shared" si="24"/>
        <v>27477395.678198833</v>
      </c>
      <c r="G255" s="22">
        <f t="shared" si="27"/>
        <v>35794732.915113539</v>
      </c>
    </row>
    <row r="256" spans="1:7">
      <c r="A256" s="20">
        <f t="shared" si="25"/>
        <v>235</v>
      </c>
      <c r="B256" s="21">
        <f t="shared" si="21"/>
        <v>48549</v>
      </c>
      <c r="C256" s="22">
        <f t="shared" si="26"/>
        <v>27477395.678198833</v>
      </c>
      <c r="D256" s="22">
        <f t="shared" si="22"/>
        <v>97315.776360287535</v>
      </c>
      <c r="E256" s="22">
        <f t="shared" si="23"/>
        <v>173403.27240813986</v>
      </c>
      <c r="F256" s="22">
        <f t="shared" si="24"/>
        <v>27303992.405790694</v>
      </c>
      <c r="G256" s="22">
        <f t="shared" si="27"/>
        <v>35892048.691473827</v>
      </c>
    </row>
    <row r="257" spans="1:7">
      <c r="A257" s="20">
        <f t="shared" si="25"/>
        <v>236</v>
      </c>
      <c r="B257" s="21">
        <f t="shared" si="21"/>
        <v>48580</v>
      </c>
      <c r="C257" s="22">
        <f t="shared" si="26"/>
        <v>27303992.405790694</v>
      </c>
      <c r="D257" s="22">
        <f t="shared" si="22"/>
        <v>96701.639770508715</v>
      </c>
      <c r="E257" s="22">
        <f t="shared" si="23"/>
        <v>174017.40899791868</v>
      </c>
      <c r="F257" s="22">
        <f t="shared" si="24"/>
        <v>27129974.996792775</v>
      </c>
      <c r="G257" s="22">
        <f t="shared" si="27"/>
        <v>35988750.331244335</v>
      </c>
    </row>
    <row r="258" spans="1:7">
      <c r="A258" s="20">
        <f t="shared" si="25"/>
        <v>237</v>
      </c>
      <c r="B258" s="21">
        <f t="shared" si="21"/>
        <v>48611</v>
      </c>
      <c r="C258" s="22">
        <f t="shared" si="26"/>
        <v>27129974.996792775</v>
      </c>
      <c r="D258" s="22">
        <f t="shared" si="22"/>
        <v>96085.328113641081</v>
      </c>
      <c r="E258" s="22">
        <f t="shared" si="23"/>
        <v>174633.72065478633</v>
      </c>
      <c r="F258" s="22">
        <f t="shared" si="24"/>
        <v>26955341.276137989</v>
      </c>
      <c r="G258" s="22">
        <f t="shared" si="27"/>
        <v>36084835.659357972</v>
      </c>
    </row>
    <row r="259" spans="1:7">
      <c r="A259" s="20">
        <f t="shared" si="25"/>
        <v>238</v>
      </c>
      <c r="B259" s="21">
        <f t="shared" si="21"/>
        <v>48639</v>
      </c>
      <c r="C259" s="22">
        <f t="shared" si="26"/>
        <v>26955341.276137989</v>
      </c>
      <c r="D259" s="22">
        <f t="shared" si="22"/>
        <v>95466.833686322047</v>
      </c>
      <c r="E259" s="22">
        <f t="shared" si="23"/>
        <v>175252.21508210537</v>
      </c>
      <c r="F259" s="22">
        <f t="shared" si="24"/>
        <v>26780089.061055884</v>
      </c>
      <c r="G259" s="22">
        <f t="shared" si="27"/>
        <v>36180302.493044294</v>
      </c>
    </row>
    <row r="260" spans="1:7">
      <c r="A260" s="20">
        <f t="shared" si="25"/>
        <v>239</v>
      </c>
      <c r="B260" s="21">
        <f t="shared" si="21"/>
        <v>48670</v>
      </c>
      <c r="C260" s="22">
        <f t="shared" si="26"/>
        <v>26780089.061055884</v>
      </c>
      <c r="D260" s="22">
        <f t="shared" si="22"/>
        <v>94846.148757906267</v>
      </c>
      <c r="E260" s="22">
        <f t="shared" si="23"/>
        <v>175872.90001052112</v>
      </c>
      <c r="F260" s="22">
        <f t="shared" si="24"/>
        <v>26604216.161045361</v>
      </c>
      <c r="G260" s="22">
        <f t="shared" si="27"/>
        <v>36275148.641802199</v>
      </c>
    </row>
    <row r="261" spans="1:7">
      <c r="A261" s="20">
        <f t="shared" si="25"/>
        <v>240</v>
      </c>
      <c r="B261" s="21">
        <f t="shared" si="21"/>
        <v>48700</v>
      </c>
      <c r="C261" s="22">
        <f t="shared" si="26"/>
        <v>26604216.161045361</v>
      </c>
      <c r="D261" s="22">
        <f t="shared" si="22"/>
        <v>94223.265570368996</v>
      </c>
      <c r="E261" s="22">
        <f t="shared" si="23"/>
        <v>176495.7831980584</v>
      </c>
      <c r="F261" s="22">
        <f t="shared" si="24"/>
        <v>26427720.377847303</v>
      </c>
      <c r="G261" s="22">
        <f t="shared" si="27"/>
        <v>36369371.907372572</v>
      </c>
    </row>
    <row r="262" spans="1:7">
      <c r="A262" s="20">
        <f t="shared" si="25"/>
        <v>241</v>
      </c>
      <c r="B262" s="21">
        <f t="shared" si="21"/>
        <v>48731</v>
      </c>
      <c r="C262" s="22">
        <f t="shared" si="26"/>
        <v>26427720.377847303</v>
      </c>
      <c r="D262" s="22">
        <f t="shared" si="22"/>
        <v>93598.176338209203</v>
      </c>
      <c r="E262" s="22">
        <f t="shared" si="23"/>
        <v>177120.87243021821</v>
      </c>
      <c r="F262" s="22">
        <f t="shared" si="24"/>
        <v>26250599.505417086</v>
      </c>
      <c r="G262" s="22">
        <f t="shared" si="27"/>
        <v>36462970.083710782</v>
      </c>
    </row>
    <row r="263" spans="1:7">
      <c r="A263" s="20">
        <f t="shared" si="25"/>
        <v>242</v>
      </c>
      <c r="B263" s="21">
        <f t="shared" si="21"/>
        <v>48761</v>
      </c>
      <c r="C263" s="22">
        <f t="shared" si="26"/>
        <v>26250599.505417086</v>
      </c>
      <c r="D263" s="22">
        <f t="shared" si="22"/>
        <v>92970.873248352189</v>
      </c>
      <c r="E263" s="22">
        <f t="shared" si="23"/>
        <v>177748.17552007519</v>
      </c>
      <c r="F263" s="22">
        <f t="shared" si="24"/>
        <v>26072851.329897013</v>
      </c>
      <c r="G263" s="22">
        <f t="shared" si="27"/>
        <v>36555940.956959136</v>
      </c>
    </row>
    <row r="264" spans="1:7">
      <c r="A264" s="20">
        <f t="shared" si="25"/>
        <v>243</v>
      </c>
      <c r="B264" s="21">
        <f t="shared" si="21"/>
        <v>48792</v>
      </c>
      <c r="C264" s="22">
        <f t="shared" si="26"/>
        <v>26072851.329897013</v>
      </c>
      <c r="D264" s="22">
        <f t="shared" si="22"/>
        <v>92341.34846005193</v>
      </c>
      <c r="E264" s="22">
        <f t="shared" si="23"/>
        <v>178377.70030837547</v>
      </c>
      <c r="F264" s="22">
        <f t="shared" si="24"/>
        <v>25894473.629588638</v>
      </c>
      <c r="G264" s="22">
        <f t="shared" si="27"/>
        <v>36648282.305419184</v>
      </c>
    </row>
    <row r="265" spans="1:7">
      <c r="A265" s="20">
        <f t="shared" si="25"/>
        <v>244</v>
      </c>
      <c r="B265" s="21">
        <f t="shared" si="21"/>
        <v>48823</v>
      </c>
      <c r="C265" s="22">
        <f t="shared" si="26"/>
        <v>25894473.629588638</v>
      </c>
      <c r="D265" s="22">
        <f t="shared" si="22"/>
        <v>91709.594104793097</v>
      </c>
      <c r="E265" s="22">
        <f t="shared" si="23"/>
        <v>179009.4546636343</v>
      </c>
      <c r="F265" s="22">
        <f t="shared" si="24"/>
        <v>25715464.174925003</v>
      </c>
      <c r="G265" s="22">
        <f t="shared" si="27"/>
        <v>36739991.899523981</v>
      </c>
    </row>
    <row r="266" spans="1:7">
      <c r="A266" s="20">
        <f t="shared" si="25"/>
        <v>245</v>
      </c>
      <c r="B266" s="21">
        <f t="shared" si="21"/>
        <v>48853</v>
      </c>
      <c r="C266" s="22">
        <f t="shared" si="26"/>
        <v>25715464.174925003</v>
      </c>
      <c r="D266" s="22">
        <f t="shared" si="22"/>
        <v>91075.602286192719</v>
      </c>
      <c r="E266" s="22">
        <f t="shared" si="23"/>
        <v>179643.44648223469</v>
      </c>
      <c r="F266" s="22">
        <f t="shared" si="24"/>
        <v>25535820.728442769</v>
      </c>
      <c r="G266" s="22">
        <f t="shared" si="27"/>
        <v>36831067.501810171</v>
      </c>
    </row>
    <row r="267" spans="1:7">
      <c r="A267" s="20">
        <f t="shared" si="25"/>
        <v>246</v>
      </c>
      <c r="B267" s="21">
        <f t="shared" si="21"/>
        <v>48884</v>
      </c>
      <c r="C267" s="22">
        <f t="shared" si="26"/>
        <v>25535820.728442769</v>
      </c>
      <c r="D267" s="22">
        <f t="shared" si="22"/>
        <v>90439.365079901487</v>
      </c>
      <c r="E267" s="22">
        <f t="shared" si="23"/>
        <v>180279.68368852593</v>
      </c>
      <c r="F267" s="22">
        <f t="shared" si="24"/>
        <v>25355541.044754244</v>
      </c>
      <c r="G267" s="22">
        <f t="shared" si="27"/>
        <v>36921506.866890073</v>
      </c>
    </row>
    <row r="268" spans="1:7">
      <c r="A268" s="20">
        <f t="shared" si="25"/>
        <v>247</v>
      </c>
      <c r="B268" s="21">
        <f t="shared" si="21"/>
        <v>48914</v>
      </c>
      <c r="C268" s="22">
        <f t="shared" si="26"/>
        <v>25355541.044754244</v>
      </c>
      <c r="D268" s="22">
        <f t="shared" si="22"/>
        <v>89800.874533504626</v>
      </c>
      <c r="E268" s="22">
        <f t="shared" si="23"/>
        <v>180918.17423492277</v>
      </c>
      <c r="F268" s="22">
        <f t="shared" si="24"/>
        <v>25174622.870519321</v>
      </c>
      <c r="G268" s="22">
        <f t="shared" si="27"/>
        <v>37011307.741423577</v>
      </c>
    </row>
    <row r="269" spans="1:7">
      <c r="A269" s="20">
        <f t="shared" si="25"/>
        <v>248</v>
      </c>
      <c r="B269" s="21">
        <f t="shared" si="21"/>
        <v>48945</v>
      </c>
      <c r="C269" s="22">
        <f t="shared" si="26"/>
        <v>25174622.870519321</v>
      </c>
      <c r="D269" s="22">
        <f t="shared" si="22"/>
        <v>89160.122666422598</v>
      </c>
      <c r="E269" s="22">
        <f t="shared" si="23"/>
        <v>181558.9261020048</v>
      </c>
      <c r="F269" s="22">
        <f t="shared" si="24"/>
        <v>24993063.944417316</v>
      </c>
      <c r="G269" s="22">
        <f t="shared" si="27"/>
        <v>37100467.864090003</v>
      </c>
    </row>
    <row r="270" spans="1:7">
      <c r="A270" s="20">
        <f t="shared" si="25"/>
        <v>249</v>
      </c>
      <c r="B270" s="21">
        <f t="shared" si="21"/>
        <v>48976</v>
      </c>
      <c r="C270" s="22">
        <f t="shared" si="26"/>
        <v>24993063.944417316</v>
      </c>
      <c r="D270" s="22">
        <f t="shared" si="22"/>
        <v>88517.101469811329</v>
      </c>
      <c r="E270" s="22">
        <f t="shared" si="23"/>
        <v>182201.94729861605</v>
      </c>
      <c r="F270" s="22">
        <f t="shared" si="24"/>
        <v>24810861.9971187</v>
      </c>
      <c r="G270" s="22">
        <f t="shared" si="27"/>
        <v>37188984.965559818</v>
      </c>
    </row>
    <row r="271" spans="1:7">
      <c r="A271" s="20">
        <f t="shared" si="25"/>
        <v>250</v>
      </c>
      <c r="B271" s="21">
        <f t="shared" si="21"/>
        <v>49004</v>
      </c>
      <c r="C271" s="22">
        <f t="shared" si="26"/>
        <v>24810861.9971187</v>
      </c>
      <c r="D271" s="22">
        <f t="shared" si="22"/>
        <v>87871.802906462064</v>
      </c>
      <c r="E271" s="22">
        <f t="shared" si="23"/>
        <v>182847.24586196535</v>
      </c>
      <c r="F271" s="22">
        <f t="shared" si="24"/>
        <v>24628014.751256734</v>
      </c>
      <c r="G271" s="22">
        <f t="shared" si="27"/>
        <v>37276856.768466279</v>
      </c>
    </row>
    <row r="272" spans="1:7">
      <c r="A272" s="20">
        <f t="shared" si="25"/>
        <v>251</v>
      </c>
      <c r="B272" s="21">
        <f t="shared" si="21"/>
        <v>49035</v>
      </c>
      <c r="C272" s="22">
        <f t="shared" si="26"/>
        <v>24628014.751256734</v>
      </c>
      <c r="D272" s="22">
        <f t="shared" si="22"/>
        <v>87224.218910700933</v>
      </c>
      <c r="E272" s="22">
        <f t="shared" si="23"/>
        <v>183494.82985772646</v>
      </c>
      <c r="F272" s="22">
        <f t="shared" si="24"/>
        <v>24444519.921399008</v>
      </c>
      <c r="G272" s="22">
        <f t="shared" si="27"/>
        <v>37364080.98737698</v>
      </c>
    </row>
    <row r="273" spans="1:7">
      <c r="A273" s="20">
        <f t="shared" si="25"/>
        <v>252</v>
      </c>
      <c r="B273" s="21">
        <f t="shared" si="21"/>
        <v>49065</v>
      </c>
      <c r="C273" s="22">
        <f t="shared" si="26"/>
        <v>24444519.921399008</v>
      </c>
      <c r="D273" s="22">
        <f t="shared" si="22"/>
        <v>86574.341388288158</v>
      </c>
      <c r="E273" s="22">
        <f t="shared" si="23"/>
        <v>184144.70738013924</v>
      </c>
      <c r="F273" s="22">
        <f t="shared" si="24"/>
        <v>24260375.21401887</v>
      </c>
      <c r="G273" s="22">
        <f t="shared" si="27"/>
        <v>37450655.328765266</v>
      </c>
    </row>
    <row r="274" spans="1:7">
      <c r="A274" s="20">
        <f t="shared" si="25"/>
        <v>253</v>
      </c>
      <c r="B274" s="21">
        <f t="shared" si="21"/>
        <v>49096</v>
      </c>
      <c r="C274" s="22">
        <f t="shared" si="26"/>
        <v>24260375.21401887</v>
      </c>
      <c r="D274" s="22">
        <f t="shared" si="22"/>
        <v>85922.162216316836</v>
      </c>
      <c r="E274" s="22">
        <f t="shared" si="23"/>
        <v>184796.88655211055</v>
      </c>
      <c r="F274" s="22">
        <f t="shared" si="24"/>
        <v>24075578.32746676</v>
      </c>
      <c r="G274" s="22">
        <f t="shared" si="27"/>
        <v>37536577.490981579</v>
      </c>
    </row>
    <row r="275" spans="1:7">
      <c r="A275" s="20">
        <f t="shared" si="25"/>
        <v>254</v>
      </c>
      <c r="B275" s="21">
        <f t="shared" si="21"/>
        <v>49126</v>
      </c>
      <c r="C275" s="22">
        <f t="shared" si="26"/>
        <v>24075578.32746676</v>
      </c>
      <c r="D275" s="22">
        <f t="shared" si="22"/>
        <v>85267.673243111451</v>
      </c>
      <c r="E275" s="22">
        <f t="shared" si="23"/>
        <v>185451.37552531593</v>
      </c>
      <c r="F275" s="22">
        <f t="shared" si="24"/>
        <v>23890126.951941445</v>
      </c>
      <c r="G275" s="22">
        <f t="shared" si="27"/>
        <v>37621845.164224692</v>
      </c>
    </row>
    <row r="276" spans="1:7">
      <c r="A276" s="20">
        <f t="shared" si="25"/>
        <v>255</v>
      </c>
      <c r="B276" s="21">
        <f t="shared" si="21"/>
        <v>49157</v>
      </c>
      <c r="C276" s="22">
        <f t="shared" si="26"/>
        <v>23890126.951941445</v>
      </c>
      <c r="D276" s="22">
        <f t="shared" si="22"/>
        <v>84610.866288125952</v>
      </c>
      <c r="E276" s="22">
        <f t="shared" si="23"/>
        <v>186108.18248030145</v>
      </c>
      <c r="F276" s="22">
        <f t="shared" si="24"/>
        <v>23704018.769461144</v>
      </c>
      <c r="G276" s="22">
        <f t="shared" si="27"/>
        <v>37706456.030512817</v>
      </c>
    </row>
    <row r="277" spans="1:7">
      <c r="A277" s="20">
        <f t="shared" si="25"/>
        <v>256</v>
      </c>
      <c r="B277" s="21">
        <f t="shared" si="21"/>
        <v>49188</v>
      </c>
      <c r="C277" s="22">
        <f t="shared" si="26"/>
        <v>23704018.769461144</v>
      </c>
      <c r="D277" s="22">
        <f t="shared" si="22"/>
        <v>83951.733141841556</v>
      </c>
      <c r="E277" s="22">
        <f t="shared" si="23"/>
        <v>186767.31562658586</v>
      </c>
      <c r="F277" s="22">
        <f t="shared" si="24"/>
        <v>23517251.453834556</v>
      </c>
      <c r="G277" s="22">
        <f t="shared" si="27"/>
        <v>37790407.763654657</v>
      </c>
    </row>
    <row r="278" spans="1:7">
      <c r="A278" s="20">
        <f t="shared" si="25"/>
        <v>257</v>
      </c>
      <c r="B278" s="21">
        <f t="shared" ref="B278:B341" si="28">Show.Date</f>
        <v>49218</v>
      </c>
      <c r="C278" s="22">
        <f t="shared" si="26"/>
        <v>23517251.453834556</v>
      </c>
      <c r="D278" s="22">
        <f t="shared" ref="D278:D341" si="29">Interest</f>
        <v>83290.265565664056</v>
      </c>
      <c r="E278" s="22">
        <f t="shared" ref="E278:E341" si="30">Principal+H278</f>
        <v>187428.78320276336</v>
      </c>
      <c r="F278" s="22">
        <f t="shared" ref="F278:F341" si="31">Ending.Balance</f>
        <v>23329822.670631792</v>
      </c>
      <c r="G278" s="22">
        <f t="shared" si="27"/>
        <v>37873698.02922032</v>
      </c>
    </row>
    <row r="279" spans="1:7">
      <c r="A279" s="20">
        <f t="shared" ref="A279:A342" si="32">payment.Num</f>
        <v>258</v>
      </c>
      <c r="B279" s="21">
        <f t="shared" si="28"/>
        <v>49249</v>
      </c>
      <c r="C279" s="22">
        <f t="shared" ref="C279:C342" si="33">Beg.Bal</f>
        <v>23329822.670631792</v>
      </c>
      <c r="D279" s="22">
        <f t="shared" si="29"/>
        <v>82626.455291820937</v>
      </c>
      <c r="E279" s="22">
        <f t="shared" si="30"/>
        <v>188092.59347660647</v>
      </c>
      <c r="F279" s="22">
        <f t="shared" si="31"/>
        <v>23141730.077155188</v>
      </c>
      <c r="G279" s="22">
        <f t="shared" ref="G279:G342" si="34">Cum.Interest</f>
        <v>37956324.484512143</v>
      </c>
    </row>
    <row r="280" spans="1:7">
      <c r="A280" s="20">
        <f t="shared" si="32"/>
        <v>259</v>
      </c>
      <c r="B280" s="21">
        <f t="shared" si="28"/>
        <v>49279</v>
      </c>
      <c r="C280" s="22">
        <f t="shared" si="33"/>
        <v>23141730.077155188</v>
      </c>
      <c r="D280" s="22">
        <f t="shared" si="29"/>
        <v>81960.294023257957</v>
      </c>
      <c r="E280" s="22">
        <f t="shared" si="30"/>
        <v>188758.75474516943</v>
      </c>
      <c r="F280" s="22">
        <f t="shared" si="31"/>
        <v>22952971.322410017</v>
      </c>
      <c r="G280" s="22">
        <f t="shared" si="34"/>
        <v>38038284.778535403</v>
      </c>
    </row>
    <row r="281" spans="1:7">
      <c r="A281" s="20">
        <f t="shared" si="32"/>
        <v>260</v>
      </c>
      <c r="B281" s="21">
        <f t="shared" si="28"/>
        <v>49310</v>
      </c>
      <c r="C281" s="22">
        <f t="shared" si="33"/>
        <v>22952971.322410017</v>
      </c>
      <c r="D281" s="22">
        <f t="shared" si="29"/>
        <v>81291.773433535491</v>
      </c>
      <c r="E281" s="22">
        <f t="shared" si="30"/>
        <v>189427.27533489192</v>
      </c>
      <c r="F281" s="22">
        <f t="shared" si="31"/>
        <v>22763544.047075126</v>
      </c>
      <c r="G281" s="22">
        <f t="shared" si="34"/>
        <v>38119576.55196894</v>
      </c>
    </row>
    <row r="282" spans="1:7">
      <c r="A282" s="20">
        <f t="shared" si="32"/>
        <v>261</v>
      </c>
      <c r="B282" s="21">
        <f t="shared" si="28"/>
        <v>49341</v>
      </c>
      <c r="C282" s="22">
        <f t="shared" si="33"/>
        <v>22763544.047075126</v>
      </c>
      <c r="D282" s="22">
        <f t="shared" si="29"/>
        <v>80620.885166724416</v>
      </c>
      <c r="E282" s="22">
        <f t="shared" si="30"/>
        <v>190098.16360170298</v>
      </c>
      <c r="F282" s="22">
        <f t="shared" si="31"/>
        <v>22573445.883473422</v>
      </c>
      <c r="G282" s="22">
        <f t="shared" si="34"/>
        <v>38200197.437135667</v>
      </c>
    </row>
    <row r="283" spans="1:7">
      <c r="A283" s="20">
        <f t="shared" si="32"/>
        <v>262</v>
      </c>
      <c r="B283" s="21">
        <f t="shared" si="28"/>
        <v>49369</v>
      </c>
      <c r="C283" s="22">
        <f t="shared" si="33"/>
        <v>22573445.883473422</v>
      </c>
      <c r="D283" s="22">
        <f t="shared" si="29"/>
        <v>79947.620837301714</v>
      </c>
      <c r="E283" s="22">
        <f t="shared" si="30"/>
        <v>190771.42793112568</v>
      </c>
      <c r="F283" s="22">
        <f t="shared" si="31"/>
        <v>22382674.455542296</v>
      </c>
      <c r="G283" s="22">
        <f t="shared" si="34"/>
        <v>38280145.057972968</v>
      </c>
    </row>
    <row r="284" spans="1:7">
      <c r="A284" s="20">
        <f t="shared" si="32"/>
        <v>263</v>
      </c>
      <c r="B284" s="21">
        <f t="shared" si="28"/>
        <v>49400</v>
      </c>
      <c r="C284" s="22">
        <f t="shared" si="33"/>
        <v>22382674.455542296</v>
      </c>
      <c r="D284" s="22">
        <f t="shared" si="29"/>
        <v>79271.972030045639</v>
      </c>
      <c r="E284" s="22">
        <f t="shared" si="30"/>
        <v>191447.07673838176</v>
      </c>
      <c r="F284" s="22">
        <f t="shared" si="31"/>
        <v>22191227.378803916</v>
      </c>
      <c r="G284" s="22">
        <f t="shared" si="34"/>
        <v>38359417.030003011</v>
      </c>
    </row>
    <row r="285" spans="1:7">
      <c r="A285" s="20">
        <f t="shared" si="32"/>
        <v>264</v>
      </c>
      <c r="B285" s="21">
        <f t="shared" si="28"/>
        <v>49430</v>
      </c>
      <c r="C285" s="22">
        <f t="shared" si="33"/>
        <v>22191227.378803916</v>
      </c>
      <c r="D285" s="22">
        <f t="shared" si="29"/>
        <v>78593.930299930536</v>
      </c>
      <c r="E285" s="22">
        <f t="shared" si="30"/>
        <v>192125.11846849686</v>
      </c>
      <c r="F285" s="22">
        <f t="shared" si="31"/>
        <v>21999102.260335419</v>
      </c>
      <c r="G285" s="22">
        <f t="shared" si="34"/>
        <v>38438010.960302942</v>
      </c>
    </row>
    <row r="286" spans="1:7">
      <c r="A286" s="20">
        <f t="shared" si="32"/>
        <v>265</v>
      </c>
      <c r="B286" s="21">
        <f t="shared" si="28"/>
        <v>49461</v>
      </c>
      <c r="C286" s="22">
        <f t="shared" si="33"/>
        <v>21999102.260335419</v>
      </c>
      <c r="D286" s="22">
        <f t="shared" si="29"/>
        <v>77913.487172021283</v>
      </c>
      <c r="E286" s="22">
        <f t="shared" si="30"/>
        <v>192805.5615964061</v>
      </c>
      <c r="F286" s="22">
        <f t="shared" si="31"/>
        <v>21806296.698739015</v>
      </c>
      <c r="G286" s="22">
        <f t="shared" si="34"/>
        <v>38515924.447474964</v>
      </c>
    </row>
    <row r="287" spans="1:7">
      <c r="A287" s="20">
        <f t="shared" si="32"/>
        <v>266</v>
      </c>
      <c r="B287" s="21">
        <f t="shared" si="28"/>
        <v>49491</v>
      </c>
      <c r="C287" s="22">
        <f t="shared" si="33"/>
        <v>21806296.698739015</v>
      </c>
      <c r="D287" s="22">
        <f t="shared" si="29"/>
        <v>77230.634141367351</v>
      </c>
      <c r="E287" s="22">
        <f t="shared" si="30"/>
        <v>193488.41462706006</v>
      </c>
      <c r="F287" s="22">
        <f t="shared" si="31"/>
        <v>21612808.284111954</v>
      </c>
      <c r="G287" s="22">
        <f t="shared" si="34"/>
        <v>38593155.081616335</v>
      </c>
    </row>
    <row r="288" spans="1:7">
      <c r="A288" s="20">
        <f t="shared" si="32"/>
        <v>267</v>
      </c>
      <c r="B288" s="21">
        <f t="shared" si="28"/>
        <v>49522</v>
      </c>
      <c r="C288" s="22">
        <f t="shared" si="33"/>
        <v>21612808.284111954</v>
      </c>
      <c r="D288" s="22">
        <f t="shared" si="29"/>
        <v>76545.362672896517</v>
      </c>
      <c r="E288" s="22">
        <f t="shared" si="30"/>
        <v>194173.68609553087</v>
      </c>
      <c r="F288" s="22">
        <f t="shared" si="31"/>
        <v>21418634.598016422</v>
      </c>
      <c r="G288" s="22">
        <f t="shared" si="34"/>
        <v>38669700.44428923</v>
      </c>
    </row>
    <row r="289" spans="1:7">
      <c r="A289" s="20">
        <f t="shared" si="32"/>
        <v>268</v>
      </c>
      <c r="B289" s="21">
        <f t="shared" si="28"/>
        <v>49553</v>
      </c>
      <c r="C289" s="22">
        <f t="shared" si="33"/>
        <v>21418634.598016422</v>
      </c>
      <c r="D289" s="22">
        <f t="shared" si="29"/>
        <v>75857.664201308173</v>
      </c>
      <c r="E289" s="22">
        <f t="shared" si="30"/>
        <v>194861.38456711924</v>
      </c>
      <c r="F289" s="22">
        <f t="shared" si="31"/>
        <v>21223773.213449303</v>
      </c>
      <c r="G289" s="22">
        <f t="shared" si="34"/>
        <v>38745558.108490542</v>
      </c>
    </row>
    <row r="290" spans="1:7">
      <c r="A290" s="20">
        <f t="shared" si="32"/>
        <v>269</v>
      </c>
      <c r="B290" s="21">
        <f t="shared" si="28"/>
        <v>49583</v>
      </c>
      <c r="C290" s="22">
        <f t="shared" si="33"/>
        <v>21223773.213449303</v>
      </c>
      <c r="D290" s="22">
        <f t="shared" si="29"/>
        <v>75167.53013096629</v>
      </c>
      <c r="E290" s="22">
        <f t="shared" si="30"/>
        <v>195551.51863746112</v>
      </c>
      <c r="F290" s="22">
        <f t="shared" si="31"/>
        <v>21028221.694811843</v>
      </c>
      <c r="G290" s="22">
        <f t="shared" si="34"/>
        <v>38820725.638621509</v>
      </c>
    </row>
    <row r="291" spans="1:7">
      <c r="A291" s="20">
        <f t="shared" si="32"/>
        <v>270</v>
      </c>
      <c r="B291" s="21">
        <f t="shared" si="28"/>
        <v>49614</v>
      </c>
      <c r="C291" s="22">
        <f t="shared" si="33"/>
        <v>21028221.694811843</v>
      </c>
      <c r="D291" s="22">
        <f t="shared" si="29"/>
        <v>74474.951835791944</v>
      </c>
      <c r="E291" s="22">
        <f t="shared" si="30"/>
        <v>196244.09693263547</v>
      </c>
      <c r="F291" s="22">
        <f t="shared" si="31"/>
        <v>20831977.597879209</v>
      </c>
      <c r="G291" s="22">
        <f t="shared" si="34"/>
        <v>38895200.590457298</v>
      </c>
    </row>
    <row r="292" spans="1:7">
      <c r="A292" s="20">
        <f t="shared" si="32"/>
        <v>271</v>
      </c>
      <c r="B292" s="21">
        <f t="shared" si="28"/>
        <v>49644</v>
      </c>
      <c r="C292" s="22">
        <f t="shared" si="33"/>
        <v>20831977.597879209</v>
      </c>
      <c r="D292" s="22">
        <f t="shared" si="29"/>
        <v>73779.920659155541</v>
      </c>
      <c r="E292" s="22">
        <f t="shared" si="30"/>
        <v>196939.12810927187</v>
      </c>
      <c r="F292" s="22">
        <f t="shared" si="31"/>
        <v>20635038.469769936</v>
      </c>
      <c r="G292" s="22">
        <f t="shared" si="34"/>
        <v>38968980.511116453</v>
      </c>
    </row>
    <row r="293" spans="1:7">
      <c r="A293" s="20">
        <f t="shared" si="32"/>
        <v>272</v>
      </c>
      <c r="B293" s="21">
        <f t="shared" si="28"/>
        <v>49675</v>
      </c>
      <c r="C293" s="22">
        <f t="shared" si="33"/>
        <v>20635038.469769936</v>
      </c>
      <c r="D293" s="22">
        <f t="shared" si="29"/>
        <v>73082.427913768523</v>
      </c>
      <c r="E293" s="22">
        <f t="shared" si="30"/>
        <v>197636.62085465889</v>
      </c>
      <c r="F293" s="22">
        <f t="shared" si="31"/>
        <v>20437401.848915279</v>
      </c>
      <c r="G293" s="22">
        <f t="shared" si="34"/>
        <v>39042062.939030223</v>
      </c>
    </row>
    <row r="294" spans="1:7">
      <c r="A294" s="20">
        <f t="shared" si="32"/>
        <v>273</v>
      </c>
      <c r="B294" s="21">
        <f t="shared" si="28"/>
        <v>49706</v>
      </c>
      <c r="C294" s="22">
        <f t="shared" si="33"/>
        <v>20437401.848915279</v>
      </c>
      <c r="D294" s="22">
        <f t="shared" si="29"/>
        <v>72382.464881574953</v>
      </c>
      <c r="E294" s="22">
        <f t="shared" si="30"/>
        <v>198336.58388685243</v>
      </c>
      <c r="F294" s="22">
        <f t="shared" si="31"/>
        <v>20239065.265028428</v>
      </c>
      <c r="G294" s="22">
        <f t="shared" si="34"/>
        <v>39114445.403911799</v>
      </c>
    </row>
    <row r="295" spans="1:7">
      <c r="A295" s="20">
        <f t="shared" si="32"/>
        <v>274</v>
      </c>
      <c r="B295" s="21">
        <f t="shared" si="28"/>
        <v>49735</v>
      </c>
      <c r="C295" s="22">
        <f t="shared" si="33"/>
        <v>20239065.265028428</v>
      </c>
      <c r="D295" s="22">
        <f t="shared" si="29"/>
        <v>71680.022813642354</v>
      </c>
      <c r="E295" s="22">
        <f t="shared" si="30"/>
        <v>199039.02595478506</v>
      </c>
      <c r="F295" s="22">
        <f t="shared" si="31"/>
        <v>20040026.239073642</v>
      </c>
      <c r="G295" s="22">
        <f t="shared" si="34"/>
        <v>39186125.42672544</v>
      </c>
    </row>
    <row r="296" spans="1:7">
      <c r="A296" s="20">
        <f t="shared" si="32"/>
        <v>275</v>
      </c>
      <c r="B296" s="21">
        <f t="shared" si="28"/>
        <v>49766</v>
      </c>
      <c r="C296" s="22">
        <f t="shared" si="33"/>
        <v>20040026.239073642</v>
      </c>
      <c r="D296" s="22">
        <f t="shared" si="29"/>
        <v>70975.092930052488</v>
      </c>
      <c r="E296" s="22">
        <f t="shared" si="30"/>
        <v>199743.95583837491</v>
      </c>
      <c r="F296" s="22">
        <f t="shared" si="31"/>
        <v>19840282.283235267</v>
      </c>
      <c r="G296" s="22">
        <f t="shared" si="34"/>
        <v>39257100.519655496</v>
      </c>
    </row>
    <row r="297" spans="1:7">
      <c r="A297" s="20">
        <f t="shared" si="32"/>
        <v>276</v>
      </c>
      <c r="B297" s="21">
        <f t="shared" si="28"/>
        <v>49796</v>
      </c>
      <c r="C297" s="22">
        <f t="shared" si="33"/>
        <v>19840282.283235267</v>
      </c>
      <c r="D297" s="22">
        <f t="shared" si="29"/>
        <v>70267.666419791582</v>
      </c>
      <c r="E297" s="22">
        <f t="shared" si="30"/>
        <v>200451.38234863582</v>
      </c>
      <c r="F297" s="22">
        <f t="shared" si="31"/>
        <v>19639830.900886633</v>
      </c>
      <c r="G297" s="22">
        <f t="shared" si="34"/>
        <v>39327368.186075285</v>
      </c>
    </row>
    <row r="298" spans="1:7">
      <c r="A298" s="20">
        <f t="shared" si="32"/>
        <v>277</v>
      </c>
      <c r="B298" s="21">
        <f t="shared" si="28"/>
        <v>49827</v>
      </c>
      <c r="C298" s="22">
        <f t="shared" si="33"/>
        <v>19639830.900886633</v>
      </c>
      <c r="D298" s="22">
        <f t="shared" si="29"/>
        <v>69557.734440640168</v>
      </c>
      <c r="E298" s="22">
        <f t="shared" si="30"/>
        <v>201161.31432778723</v>
      </c>
      <c r="F298" s="22">
        <f t="shared" si="31"/>
        <v>19438669.586558845</v>
      </c>
      <c r="G298" s="22">
        <f t="shared" si="34"/>
        <v>39396925.920515925</v>
      </c>
    </row>
    <row r="299" spans="1:7">
      <c r="A299" s="20">
        <f t="shared" si="32"/>
        <v>278</v>
      </c>
      <c r="B299" s="21">
        <f t="shared" si="28"/>
        <v>49857</v>
      </c>
      <c r="C299" s="22">
        <f t="shared" si="33"/>
        <v>19438669.586558845</v>
      </c>
      <c r="D299" s="22">
        <f t="shared" si="29"/>
        <v>68845.288119062578</v>
      </c>
      <c r="E299" s="22">
        <f t="shared" si="30"/>
        <v>201873.76064936482</v>
      </c>
      <c r="F299" s="22">
        <f t="shared" si="31"/>
        <v>19236795.82590948</v>
      </c>
      <c r="G299" s="22">
        <f t="shared" si="34"/>
        <v>39465771.208634987</v>
      </c>
    </row>
    <row r="300" spans="1:7">
      <c r="A300" s="20">
        <f t="shared" si="32"/>
        <v>279</v>
      </c>
      <c r="B300" s="21">
        <f t="shared" si="28"/>
        <v>49888</v>
      </c>
      <c r="C300" s="22">
        <f t="shared" si="33"/>
        <v>19236795.82590948</v>
      </c>
      <c r="D300" s="22">
        <f t="shared" si="29"/>
        <v>68130.318550096083</v>
      </c>
      <c r="E300" s="22">
        <f t="shared" si="30"/>
        <v>202588.73021833133</v>
      </c>
      <c r="F300" s="22">
        <f t="shared" si="31"/>
        <v>19034207.095691148</v>
      </c>
      <c r="G300" s="22">
        <f t="shared" si="34"/>
        <v>39533901.527185082</v>
      </c>
    </row>
    <row r="301" spans="1:7">
      <c r="A301" s="20">
        <f t="shared" si="32"/>
        <v>280</v>
      </c>
      <c r="B301" s="21">
        <f t="shared" si="28"/>
        <v>49919</v>
      </c>
      <c r="C301" s="22">
        <f t="shared" si="33"/>
        <v>19034207.095691148</v>
      </c>
      <c r="D301" s="22">
        <f t="shared" si="29"/>
        <v>67412.816797239488</v>
      </c>
      <c r="E301" s="22">
        <f t="shared" si="30"/>
        <v>203306.23197118792</v>
      </c>
      <c r="F301" s="22">
        <f t="shared" si="31"/>
        <v>18830900.863719959</v>
      </c>
      <c r="G301" s="22">
        <f t="shared" si="34"/>
        <v>39601314.343982324</v>
      </c>
    </row>
    <row r="302" spans="1:7">
      <c r="A302" s="20">
        <f t="shared" si="32"/>
        <v>281</v>
      </c>
      <c r="B302" s="21">
        <f t="shared" si="28"/>
        <v>49949</v>
      </c>
      <c r="C302" s="22">
        <f t="shared" si="33"/>
        <v>18830900.863719959</v>
      </c>
      <c r="D302" s="22">
        <f t="shared" si="29"/>
        <v>66692.773892341531</v>
      </c>
      <c r="E302" s="22">
        <f t="shared" si="30"/>
        <v>204026.27487608587</v>
      </c>
      <c r="F302" s="22">
        <f t="shared" si="31"/>
        <v>18626874.588843875</v>
      </c>
      <c r="G302" s="22">
        <f t="shared" si="34"/>
        <v>39668007.117874667</v>
      </c>
    </row>
    <row r="303" spans="1:7">
      <c r="A303" s="20">
        <f t="shared" si="32"/>
        <v>282</v>
      </c>
      <c r="B303" s="21">
        <f t="shared" si="28"/>
        <v>49980</v>
      </c>
      <c r="C303" s="22">
        <f t="shared" si="33"/>
        <v>18626874.588843875</v>
      </c>
      <c r="D303" s="22">
        <f t="shared" si="29"/>
        <v>65970.180835488733</v>
      </c>
      <c r="E303" s="22">
        <f t="shared" si="30"/>
        <v>204748.86793293868</v>
      </c>
      <c r="F303" s="22">
        <f t="shared" si="31"/>
        <v>18422125.720910937</v>
      </c>
      <c r="G303" s="22">
        <f t="shared" si="34"/>
        <v>39733977.298710153</v>
      </c>
    </row>
    <row r="304" spans="1:7">
      <c r="A304" s="20">
        <f t="shared" si="32"/>
        <v>283</v>
      </c>
      <c r="B304" s="21">
        <f t="shared" si="28"/>
        <v>50010</v>
      </c>
      <c r="C304" s="22">
        <f t="shared" si="33"/>
        <v>18422125.720910937</v>
      </c>
      <c r="D304" s="22">
        <f t="shared" si="29"/>
        <v>65245.028594892909</v>
      </c>
      <c r="E304" s="22">
        <f t="shared" si="30"/>
        <v>205474.02017353449</v>
      </c>
      <c r="F304" s="22">
        <f t="shared" si="31"/>
        <v>18216651.700737402</v>
      </c>
      <c r="G304" s="22">
        <f t="shared" si="34"/>
        <v>39799222.327305049</v>
      </c>
    </row>
    <row r="305" spans="1:7">
      <c r="A305" s="20">
        <f t="shared" si="32"/>
        <v>284</v>
      </c>
      <c r="B305" s="21">
        <f t="shared" si="28"/>
        <v>50041</v>
      </c>
      <c r="C305" s="22">
        <f t="shared" si="33"/>
        <v>18216651.700737402</v>
      </c>
      <c r="D305" s="22">
        <f t="shared" si="29"/>
        <v>64517.308106778306</v>
      </c>
      <c r="E305" s="22">
        <f t="shared" si="30"/>
        <v>206201.74066164909</v>
      </c>
      <c r="F305" s="22">
        <f t="shared" si="31"/>
        <v>18010449.960075751</v>
      </c>
      <c r="G305" s="22">
        <f t="shared" si="34"/>
        <v>39863739.635411829</v>
      </c>
    </row>
    <row r="306" spans="1:7">
      <c r="A306" s="20">
        <f t="shared" si="32"/>
        <v>285</v>
      </c>
      <c r="B306" s="21">
        <f t="shared" si="28"/>
        <v>50072</v>
      </c>
      <c r="C306" s="22">
        <f t="shared" si="33"/>
        <v>18010449.960075751</v>
      </c>
      <c r="D306" s="22">
        <f t="shared" si="29"/>
        <v>63787.010275268287</v>
      </c>
      <c r="E306" s="22">
        <f t="shared" si="30"/>
        <v>206932.03849315911</v>
      </c>
      <c r="F306" s="22">
        <f t="shared" si="31"/>
        <v>17803517.921582591</v>
      </c>
      <c r="G306" s="22">
        <f t="shared" si="34"/>
        <v>39927526.645687096</v>
      </c>
    </row>
    <row r="307" spans="1:7">
      <c r="A307" s="20">
        <f t="shared" si="32"/>
        <v>286</v>
      </c>
      <c r="B307" s="21">
        <f t="shared" si="28"/>
        <v>50100</v>
      </c>
      <c r="C307" s="22">
        <f t="shared" si="33"/>
        <v>17803517.921582591</v>
      </c>
      <c r="D307" s="22">
        <f t="shared" si="29"/>
        <v>63054.125972271679</v>
      </c>
      <c r="E307" s="22">
        <f t="shared" si="30"/>
        <v>207664.92279615573</v>
      </c>
      <c r="F307" s="22">
        <f t="shared" si="31"/>
        <v>17595852.998786435</v>
      </c>
      <c r="G307" s="22">
        <f t="shared" si="34"/>
        <v>39990580.771659367</v>
      </c>
    </row>
    <row r="308" spans="1:7">
      <c r="A308" s="20">
        <f t="shared" si="32"/>
        <v>287</v>
      </c>
      <c r="B308" s="21">
        <f t="shared" si="28"/>
        <v>50131</v>
      </c>
      <c r="C308" s="22">
        <f t="shared" si="33"/>
        <v>17595852.998786435</v>
      </c>
      <c r="D308" s="22">
        <f t="shared" si="29"/>
        <v>62318.646037368628</v>
      </c>
      <c r="E308" s="22">
        <f t="shared" si="30"/>
        <v>208400.40273105877</v>
      </c>
      <c r="F308" s="22">
        <f t="shared" si="31"/>
        <v>17387452.596055377</v>
      </c>
      <c r="G308" s="22">
        <f t="shared" si="34"/>
        <v>40052899.417696737</v>
      </c>
    </row>
    <row r="309" spans="1:7">
      <c r="A309" s="20">
        <f t="shared" si="32"/>
        <v>288</v>
      </c>
      <c r="B309" s="21">
        <f t="shared" si="28"/>
        <v>50161</v>
      </c>
      <c r="C309" s="22">
        <f t="shared" si="33"/>
        <v>17387452.596055377</v>
      </c>
      <c r="D309" s="22">
        <f t="shared" si="29"/>
        <v>61580.561277696135</v>
      </c>
      <c r="E309" s="22">
        <f t="shared" si="30"/>
        <v>209138.48749073126</v>
      </c>
      <c r="F309" s="22">
        <f t="shared" si="31"/>
        <v>17178314.108564645</v>
      </c>
      <c r="G309" s="22">
        <f t="shared" si="34"/>
        <v>40114479.978974432</v>
      </c>
    </row>
    <row r="310" spans="1:7">
      <c r="A310" s="20">
        <f t="shared" si="32"/>
        <v>289</v>
      </c>
      <c r="B310" s="21">
        <f t="shared" si="28"/>
        <v>50192</v>
      </c>
      <c r="C310" s="22">
        <f t="shared" si="33"/>
        <v>17178314.108564645</v>
      </c>
      <c r="D310" s="22">
        <f t="shared" si="29"/>
        <v>60839.862467833125</v>
      </c>
      <c r="E310" s="22">
        <f t="shared" si="30"/>
        <v>209879.18630059427</v>
      </c>
      <c r="F310" s="22">
        <f t="shared" si="31"/>
        <v>16968434.922264051</v>
      </c>
      <c r="G310" s="22">
        <f t="shared" si="34"/>
        <v>40175319.841442265</v>
      </c>
    </row>
    <row r="311" spans="1:7">
      <c r="A311" s="20">
        <f t="shared" si="32"/>
        <v>290</v>
      </c>
      <c r="B311" s="21">
        <f t="shared" si="28"/>
        <v>50222</v>
      </c>
      <c r="C311" s="22">
        <f t="shared" si="33"/>
        <v>16968434.922264051</v>
      </c>
      <c r="D311" s="22">
        <f t="shared" si="29"/>
        <v>60096.540349685187</v>
      </c>
      <c r="E311" s="22">
        <f t="shared" si="30"/>
        <v>210622.50841874222</v>
      </c>
      <c r="F311" s="22">
        <f t="shared" si="31"/>
        <v>16757812.413845308</v>
      </c>
      <c r="G311" s="22">
        <f t="shared" si="34"/>
        <v>40235416.381791949</v>
      </c>
    </row>
    <row r="312" spans="1:7">
      <c r="A312" s="20">
        <f t="shared" si="32"/>
        <v>291</v>
      </c>
      <c r="B312" s="21">
        <f t="shared" si="28"/>
        <v>50253</v>
      </c>
      <c r="C312" s="22">
        <f t="shared" si="33"/>
        <v>16757812.413845308</v>
      </c>
      <c r="D312" s="22">
        <f t="shared" si="29"/>
        <v>59350.585632368806</v>
      </c>
      <c r="E312" s="22">
        <f t="shared" si="30"/>
        <v>211368.46313605859</v>
      </c>
      <c r="F312" s="22">
        <f t="shared" si="31"/>
        <v>16546443.95070925</v>
      </c>
      <c r="G312" s="22">
        <f t="shared" si="34"/>
        <v>40294766.967424318</v>
      </c>
    </row>
    <row r="313" spans="1:7">
      <c r="A313" s="20">
        <f t="shared" si="32"/>
        <v>292</v>
      </c>
      <c r="B313" s="21">
        <f t="shared" si="28"/>
        <v>50284</v>
      </c>
      <c r="C313" s="22">
        <f t="shared" si="33"/>
        <v>16546443.95070925</v>
      </c>
      <c r="D313" s="22">
        <f t="shared" si="29"/>
        <v>58601.988992095263</v>
      </c>
      <c r="E313" s="22">
        <f t="shared" si="30"/>
        <v>212117.05977633214</v>
      </c>
      <c r="F313" s="22">
        <f t="shared" si="31"/>
        <v>16334326.890932918</v>
      </c>
      <c r="G313" s="22">
        <f t="shared" si="34"/>
        <v>40353368.956416413</v>
      </c>
    </row>
    <row r="314" spans="1:7">
      <c r="A314" s="20">
        <f t="shared" si="32"/>
        <v>293</v>
      </c>
      <c r="B314" s="21">
        <f t="shared" si="28"/>
        <v>50314</v>
      </c>
      <c r="C314" s="22">
        <f t="shared" si="33"/>
        <v>16334326.890932918</v>
      </c>
      <c r="D314" s="22">
        <f t="shared" si="29"/>
        <v>57850.741072054087</v>
      </c>
      <c r="E314" s="22">
        <f t="shared" si="30"/>
        <v>212868.30769637332</v>
      </c>
      <c r="F314" s="22">
        <f t="shared" si="31"/>
        <v>16121458.583236543</v>
      </c>
      <c r="G314" s="22">
        <f t="shared" si="34"/>
        <v>40411219.697488464</v>
      </c>
    </row>
    <row r="315" spans="1:7">
      <c r="A315" s="20">
        <f t="shared" si="32"/>
        <v>294</v>
      </c>
      <c r="B315" s="21">
        <f t="shared" si="28"/>
        <v>50345</v>
      </c>
      <c r="C315" s="22">
        <f t="shared" si="33"/>
        <v>16121458.583236543</v>
      </c>
      <c r="D315" s="22">
        <f t="shared" si="29"/>
        <v>57096.832482296093</v>
      </c>
      <c r="E315" s="22">
        <f t="shared" si="30"/>
        <v>213622.2162861313</v>
      </c>
      <c r="F315" s="22">
        <f t="shared" si="31"/>
        <v>15907836.366950411</v>
      </c>
      <c r="G315" s="22">
        <f t="shared" si="34"/>
        <v>40468316.529970758</v>
      </c>
    </row>
    <row r="316" spans="1:7">
      <c r="A316" s="20">
        <f t="shared" si="32"/>
        <v>295</v>
      </c>
      <c r="B316" s="21">
        <f t="shared" si="28"/>
        <v>50375</v>
      </c>
      <c r="C316" s="22">
        <f t="shared" si="33"/>
        <v>15907836.366950411</v>
      </c>
      <c r="D316" s="22">
        <f t="shared" si="29"/>
        <v>56340.253799616046</v>
      </c>
      <c r="E316" s="22">
        <f t="shared" si="30"/>
        <v>214378.79496881136</v>
      </c>
      <c r="F316" s="22">
        <f t="shared" si="31"/>
        <v>15693457.5719816</v>
      </c>
      <c r="G316" s="22">
        <f t="shared" si="34"/>
        <v>40524656.783770375</v>
      </c>
    </row>
    <row r="317" spans="1:7">
      <c r="A317" s="20">
        <f t="shared" si="32"/>
        <v>296</v>
      </c>
      <c r="B317" s="21">
        <f t="shared" si="28"/>
        <v>50406</v>
      </c>
      <c r="C317" s="22">
        <f t="shared" si="33"/>
        <v>15693457.5719816</v>
      </c>
      <c r="D317" s="22">
        <f t="shared" si="29"/>
        <v>55580.995567434838</v>
      </c>
      <c r="E317" s="22">
        <f t="shared" si="30"/>
        <v>215138.05320099255</v>
      </c>
      <c r="F317" s="22">
        <f t="shared" si="31"/>
        <v>15478319.518780608</v>
      </c>
      <c r="G317" s="22">
        <f t="shared" si="34"/>
        <v>40580237.779337808</v>
      </c>
    </row>
    <row r="318" spans="1:7">
      <c r="A318" s="20">
        <f t="shared" si="32"/>
        <v>297</v>
      </c>
      <c r="B318" s="21">
        <f t="shared" si="28"/>
        <v>50437</v>
      </c>
      <c r="C318" s="22">
        <f t="shared" si="33"/>
        <v>15478319.518780608</v>
      </c>
      <c r="D318" s="22">
        <f t="shared" si="29"/>
        <v>54819.048295681321</v>
      </c>
      <c r="E318" s="22">
        <f t="shared" si="30"/>
        <v>215900.00047274609</v>
      </c>
      <c r="F318" s="22">
        <f t="shared" si="31"/>
        <v>15262419.518307861</v>
      </c>
      <c r="G318" s="22">
        <f t="shared" si="34"/>
        <v>40635056.827633493</v>
      </c>
    </row>
    <row r="319" spans="1:7">
      <c r="A319" s="20">
        <f t="shared" si="32"/>
        <v>298</v>
      </c>
      <c r="B319" s="21">
        <f t="shared" si="28"/>
        <v>50465</v>
      </c>
      <c r="C319" s="22">
        <f t="shared" si="33"/>
        <v>15262419.518307861</v>
      </c>
      <c r="D319" s="22">
        <f t="shared" si="29"/>
        <v>54054.402460673678</v>
      </c>
      <c r="E319" s="22">
        <f t="shared" si="30"/>
        <v>216664.64630775372</v>
      </c>
      <c r="F319" s="22">
        <f t="shared" si="31"/>
        <v>15045754.872000108</v>
      </c>
      <c r="G319" s="22">
        <f t="shared" si="34"/>
        <v>40689111.230094165</v>
      </c>
    </row>
    <row r="320" spans="1:7">
      <c r="A320" s="20">
        <f t="shared" si="32"/>
        <v>299</v>
      </c>
      <c r="B320" s="21">
        <f t="shared" si="28"/>
        <v>50496</v>
      </c>
      <c r="C320" s="22">
        <f t="shared" si="33"/>
        <v>15045754.872000108</v>
      </c>
      <c r="D320" s="22">
        <f t="shared" si="29"/>
        <v>53287.048505000384</v>
      </c>
      <c r="E320" s="22">
        <f t="shared" si="30"/>
        <v>217432.00026342701</v>
      </c>
      <c r="F320" s="22">
        <f t="shared" si="31"/>
        <v>14828322.871736681</v>
      </c>
      <c r="G320" s="22">
        <f t="shared" si="34"/>
        <v>40742398.278599165</v>
      </c>
    </row>
    <row r="321" spans="1:7">
      <c r="A321" s="20">
        <f t="shared" si="32"/>
        <v>300</v>
      </c>
      <c r="B321" s="21">
        <f t="shared" si="28"/>
        <v>50526</v>
      </c>
      <c r="C321" s="22">
        <f t="shared" si="33"/>
        <v>14828322.871736681</v>
      </c>
      <c r="D321" s="22">
        <f t="shared" si="29"/>
        <v>52516.976837400747</v>
      </c>
      <c r="E321" s="22">
        <f t="shared" si="30"/>
        <v>218202.07193102664</v>
      </c>
      <c r="F321" s="22">
        <f t="shared" si="31"/>
        <v>14610120.799805654</v>
      </c>
      <c r="G321" s="22">
        <f t="shared" si="34"/>
        <v>40794915.255436569</v>
      </c>
    </row>
    <row r="322" spans="1:7">
      <c r="A322" s="20">
        <f t="shared" si="32"/>
        <v>301</v>
      </c>
      <c r="B322" s="21">
        <f t="shared" si="28"/>
        <v>50557</v>
      </c>
      <c r="C322" s="22">
        <f t="shared" si="33"/>
        <v>14610120.799805654</v>
      </c>
      <c r="D322" s="22">
        <f t="shared" si="29"/>
        <v>51744.177832645029</v>
      </c>
      <c r="E322" s="22">
        <f t="shared" si="30"/>
        <v>218974.87093578238</v>
      </c>
      <c r="F322" s="22">
        <f t="shared" si="31"/>
        <v>14391145.928869871</v>
      </c>
      <c r="G322" s="22">
        <f t="shared" si="34"/>
        <v>40846659.433269218</v>
      </c>
    </row>
    <row r="323" spans="1:7">
      <c r="A323" s="20">
        <f t="shared" si="32"/>
        <v>302</v>
      </c>
      <c r="B323" s="21">
        <f t="shared" si="28"/>
        <v>50587</v>
      </c>
      <c r="C323" s="22">
        <f t="shared" si="33"/>
        <v>14391145.928869871</v>
      </c>
      <c r="D323" s="22">
        <f t="shared" si="29"/>
        <v>50968.641831414134</v>
      </c>
      <c r="E323" s="22">
        <f t="shared" si="30"/>
        <v>219750.40693701326</v>
      </c>
      <c r="F323" s="22">
        <f t="shared" si="31"/>
        <v>14171395.521932859</v>
      </c>
      <c r="G323" s="22">
        <f t="shared" si="34"/>
        <v>40897628.075100631</v>
      </c>
    </row>
    <row r="324" spans="1:7">
      <c r="A324" s="20">
        <f t="shared" si="32"/>
        <v>303</v>
      </c>
      <c r="B324" s="21">
        <f t="shared" si="28"/>
        <v>50618</v>
      </c>
      <c r="C324" s="22">
        <f t="shared" si="33"/>
        <v>14171395.521932859</v>
      </c>
      <c r="D324" s="22">
        <f t="shared" si="29"/>
        <v>50190.35914017888</v>
      </c>
      <c r="E324" s="22">
        <f t="shared" si="30"/>
        <v>220528.68962824851</v>
      </c>
      <c r="F324" s="22">
        <f t="shared" si="31"/>
        <v>13950866.83230461</v>
      </c>
      <c r="G324" s="22">
        <f t="shared" si="34"/>
        <v>40947818.434240811</v>
      </c>
    </row>
    <row r="325" spans="1:7">
      <c r="A325" s="20">
        <f t="shared" si="32"/>
        <v>304</v>
      </c>
      <c r="B325" s="21">
        <f t="shared" si="28"/>
        <v>50649</v>
      </c>
      <c r="C325" s="22">
        <f t="shared" si="33"/>
        <v>13950866.83230461</v>
      </c>
      <c r="D325" s="22">
        <f t="shared" si="29"/>
        <v>49409.320031078831</v>
      </c>
      <c r="E325" s="22">
        <f t="shared" si="30"/>
        <v>221309.72873734857</v>
      </c>
      <c r="F325" s="22">
        <f t="shared" si="31"/>
        <v>13729557.103567261</v>
      </c>
      <c r="G325" s="22">
        <f t="shared" si="34"/>
        <v>40997227.754271887</v>
      </c>
    </row>
    <row r="326" spans="1:7">
      <c r="A326" s="20">
        <f t="shared" si="32"/>
        <v>305</v>
      </c>
      <c r="B326" s="21">
        <f t="shared" si="28"/>
        <v>50679</v>
      </c>
      <c r="C326" s="22">
        <f t="shared" si="33"/>
        <v>13729557.103567261</v>
      </c>
      <c r="D326" s="22">
        <f t="shared" si="29"/>
        <v>48625.514741800718</v>
      </c>
      <c r="E326" s="22">
        <f t="shared" si="30"/>
        <v>222093.53402662667</v>
      </c>
      <c r="F326" s="22">
        <f t="shared" si="31"/>
        <v>13507463.569540635</v>
      </c>
      <c r="G326" s="22">
        <f t="shared" si="34"/>
        <v>41045853.269013688</v>
      </c>
    </row>
    <row r="327" spans="1:7">
      <c r="A327" s="20">
        <f t="shared" si="32"/>
        <v>306</v>
      </c>
      <c r="B327" s="21">
        <f t="shared" si="28"/>
        <v>50710</v>
      </c>
      <c r="C327" s="22">
        <f t="shared" si="33"/>
        <v>13507463.569540635</v>
      </c>
      <c r="D327" s="22">
        <f t="shared" si="29"/>
        <v>47838.933475456419</v>
      </c>
      <c r="E327" s="22">
        <f t="shared" si="30"/>
        <v>222880.11529297096</v>
      </c>
      <c r="F327" s="22">
        <f t="shared" si="31"/>
        <v>13284583.454247665</v>
      </c>
      <c r="G327" s="22">
        <f t="shared" si="34"/>
        <v>41093692.202489145</v>
      </c>
    </row>
    <row r="328" spans="1:7">
      <c r="A328" s="20">
        <f t="shared" si="32"/>
        <v>307</v>
      </c>
      <c r="B328" s="21">
        <f t="shared" si="28"/>
        <v>50740</v>
      </c>
      <c r="C328" s="22">
        <f t="shared" si="33"/>
        <v>13284583.454247665</v>
      </c>
      <c r="D328" s="22">
        <f t="shared" si="29"/>
        <v>47049.566400460484</v>
      </c>
      <c r="E328" s="22">
        <f t="shared" si="30"/>
        <v>223669.48236796691</v>
      </c>
      <c r="F328" s="22">
        <f t="shared" si="31"/>
        <v>13060913.971879698</v>
      </c>
      <c r="G328" s="22">
        <f t="shared" si="34"/>
        <v>41140741.768889606</v>
      </c>
    </row>
    <row r="329" spans="1:7">
      <c r="A329" s="20">
        <f t="shared" si="32"/>
        <v>308</v>
      </c>
      <c r="B329" s="21">
        <f t="shared" si="28"/>
        <v>50771</v>
      </c>
      <c r="C329" s="22">
        <f t="shared" si="33"/>
        <v>13060913.971879698</v>
      </c>
      <c r="D329" s="22">
        <f t="shared" si="29"/>
        <v>46257.403650407265</v>
      </c>
      <c r="E329" s="22">
        <f t="shared" si="30"/>
        <v>224461.64511802013</v>
      </c>
      <c r="F329" s="22">
        <f t="shared" si="31"/>
        <v>12836452.326761678</v>
      </c>
      <c r="G329" s="22">
        <f t="shared" si="34"/>
        <v>41186999.172540016</v>
      </c>
    </row>
    <row r="330" spans="1:7">
      <c r="A330" s="20">
        <f t="shared" si="32"/>
        <v>309</v>
      </c>
      <c r="B330" s="21">
        <f t="shared" si="28"/>
        <v>50802</v>
      </c>
      <c r="C330" s="22">
        <f t="shared" si="33"/>
        <v>12836452.326761678</v>
      </c>
      <c r="D330" s="22">
        <f t="shared" si="29"/>
        <v>45462.435323947611</v>
      </c>
      <c r="E330" s="22">
        <f t="shared" si="30"/>
        <v>225256.61344447979</v>
      </c>
      <c r="F330" s="22">
        <f t="shared" si="31"/>
        <v>12611195.713317199</v>
      </c>
      <c r="G330" s="22">
        <f t="shared" si="34"/>
        <v>41232461.607863963</v>
      </c>
    </row>
    <row r="331" spans="1:7">
      <c r="A331" s="20">
        <f t="shared" si="32"/>
        <v>310</v>
      </c>
      <c r="B331" s="21">
        <f t="shared" si="28"/>
        <v>50830</v>
      </c>
      <c r="C331" s="22">
        <f t="shared" si="33"/>
        <v>12611195.713317199</v>
      </c>
      <c r="D331" s="22">
        <f t="shared" si="29"/>
        <v>44664.651484665083</v>
      </c>
      <c r="E331" s="22">
        <f t="shared" si="30"/>
        <v>226054.39728376232</v>
      </c>
      <c r="F331" s="22">
        <f t="shared" si="31"/>
        <v>12385141.316033436</v>
      </c>
      <c r="G331" s="22">
        <f t="shared" si="34"/>
        <v>41277126.259348631</v>
      </c>
    </row>
    <row r="332" spans="1:7">
      <c r="A332" s="20">
        <f t="shared" si="32"/>
        <v>311</v>
      </c>
      <c r="B332" s="21">
        <f t="shared" si="28"/>
        <v>50861</v>
      </c>
      <c r="C332" s="22">
        <f t="shared" si="33"/>
        <v>12385141.316033436</v>
      </c>
      <c r="D332" s="22">
        <f t="shared" si="29"/>
        <v>43864.042160951758</v>
      </c>
      <c r="E332" s="22">
        <f t="shared" si="30"/>
        <v>226855.00660747563</v>
      </c>
      <c r="F332" s="22">
        <f t="shared" si="31"/>
        <v>12158286.309425961</v>
      </c>
      <c r="G332" s="22">
        <f t="shared" si="34"/>
        <v>41320990.301509582</v>
      </c>
    </row>
    <row r="333" spans="1:7">
      <c r="A333" s="20">
        <f t="shared" si="32"/>
        <v>312</v>
      </c>
      <c r="B333" s="21">
        <f t="shared" si="28"/>
        <v>50891</v>
      </c>
      <c r="C333" s="22">
        <f t="shared" si="33"/>
        <v>12158286.309425961</v>
      </c>
      <c r="D333" s="22">
        <f t="shared" si="29"/>
        <v>43060.597345883616</v>
      </c>
      <c r="E333" s="22">
        <f t="shared" si="30"/>
        <v>227658.45142254379</v>
      </c>
      <c r="F333" s="22">
        <f t="shared" si="31"/>
        <v>11930627.858003417</v>
      </c>
      <c r="G333" s="22">
        <f t="shared" si="34"/>
        <v>41364050.898855463</v>
      </c>
    </row>
    <row r="334" spans="1:7">
      <c r="A334" s="20">
        <f t="shared" si="32"/>
        <v>313</v>
      </c>
      <c r="B334" s="21">
        <f t="shared" si="28"/>
        <v>50922</v>
      </c>
      <c r="C334" s="22">
        <f t="shared" si="33"/>
        <v>11930627.858003417</v>
      </c>
      <c r="D334" s="22">
        <f t="shared" si="29"/>
        <v>42254.306997095438</v>
      </c>
      <c r="E334" s="22">
        <f t="shared" si="30"/>
        <v>228464.74177133196</v>
      </c>
      <c r="F334" s="22">
        <f t="shared" si="31"/>
        <v>11702163.116232086</v>
      </c>
      <c r="G334" s="22">
        <f t="shared" si="34"/>
        <v>41406305.205852561</v>
      </c>
    </row>
    <row r="335" spans="1:7">
      <c r="A335" s="20">
        <f t="shared" si="32"/>
        <v>314</v>
      </c>
      <c r="B335" s="21">
        <f t="shared" si="28"/>
        <v>50952</v>
      </c>
      <c r="C335" s="22">
        <f t="shared" si="33"/>
        <v>11702163.116232086</v>
      </c>
      <c r="D335" s="22">
        <f t="shared" si="29"/>
        <v>41445.161036655307</v>
      </c>
      <c r="E335" s="22">
        <f t="shared" si="30"/>
        <v>229273.88773177209</v>
      </c>
      <c r="F335" s="22">
        <f t="shared" si="31"/>
        <v>11472889.228500314</v>
      </c>
      <c r="G335" s="22">
        <f t="shared" si="34"/>
        <v>41447750.366889216</v>
      </c>
    </row>
    <row r="336" spans="1:7">
      <c r="A336" s="20">
        <f t="shared" si="32"/>
        <v>315</v>
      </c>
      <c r="B336" s="21">
        <f t="shared" si="28"/>
        <v>50983</v>
      </c>
      <c r="C336" s="22">
        <f t="shared" si="33"/>
        <v>11472889.228500314</v>
      </c>
      <c r="D336" s="22">
        <f t="shared" si="29"/>
        <v>40633.149350938613</v>
      </c>
      <c r="E336" s="22">
        <f t="shared" si="30"/>
        <v>230085.89941748878</v>
      </c>
      <c r="F336" s="22">
        <f t="shared" si="31"/>
        <v>11242803.329082826</v>
      </c>
      <c r="G336" s="22">
        <f t="shared" si="34"/>
        <v>41488383.516240157</v>
      </c>
    </row>
    <row r="337" spans="1:7">
      <c r="A337" s="20">
        <f t="shared" si="32"/>
        <v>316</v>
      </c>
      <c r="B337" s="21">
        <f t="shared" si="28"/>
        <v>51014</v>
      </c>
      <c r="C337" s="22">
        <f t="shared" si="33"/>
        <v>11242803.329082826</v>
      </c>
      <c r="D337" s="22">
        <f t="shared" si="29"/>
        <v>39818.261790501681</v>
      </c>
      <c r="E337" s="22">
        <f t="shared" si="30"/>
        <v>230900.78697792572</v>
      </c>
      <c r="F337" s="22">
        <f t="shared" si="31"/>
        <v>11011902.5421049</v>
      </c>
      <c r="G337" s="22">
        <f t="shared" si="34"/>
        <v>41528201.778030656</v>
      </c>
    </row>
    <row r="338" spans="1:7">
      <c r="A338" s="20">
        <f t="shared" si="32"/>
        <v>317</v>
      </c>
      <c r="B338" s="21">
        <f t="shared" si="28"/>
        <v>51044</v>
      </c>
      <c r="C338" s="22">
        <f t="shared" si="33"/>
        <v>11011902.5421049</v>
      </c>
      <c r="D338" s="22">
        <f t="shared" si="29"/>
        <v>39000.488169954857</v>
      </c>
      <c r="E338" s="22">
        <f t="shared" si="30"/>
        <v>231718.56059847254</v>
      </c>
      <c r="F338" s="22">
        <f t="shared" si="31"/>
        <v>10780183.981506428</v>
      </c>
      <c r="G338" s="22">
        <f t="shared" si="34"/>
        <v>41567202.26620061</v>
      </c>
    </row>
    <row r="339" spans="1:7">
      <c r="A339" s="20">
        <f t="shared" si="32"/>
        <v>318</v>
      </c>
      <c r="B339" s="21">
        <f t="shared" si="28"/>
        <v>51075</v>
      </c>
      <c r="C339" s="22">
        <f t="shared" si="33"/>
        <v>10780183.981506428</v>
      </c>
      <c r="D339" s="22">
        <f t="shared" si="29"/>
        <v>38179.818267835268</v>
      </c>
      <c r="E339" s="22">
        <f t="shared" si="30"/>
        <v>232539.23050059212</v>
      </c>
      <c r="F339" s="22">
        <f t="shared" si="31"/>
        <v>10547644.751005836</v>
      </c>
      <c r="G339" s="22">
        <f t="shared" si="34"/>
        <v>41605382.084468447</v>
      </c>
    </row>
    <row r="340" spans="1:7">
      <c r="A340" s="20">
        <f t="shared" si="32"/>
        <v>319</v>
      </c>
      <c r="B340" s="21">
        <f t="shared" si="28"/>
        <v>51105</v>
      </c>
      <c r="C340" s="22">
        <f t="shared" si="33"/>
        <v>10547644.751005836</v>
      </c>
      <c r="D340" s="22">
        <f t="shared" si="29"/>
        <v>37356.241826479003</v>
      </c>
      <c r="E340" s="22">
        <f t="shared" si="30"/>
        <v>233362.80694194839</v>
      </c>
      <c r="F340" s="22">
        <f t="shared" si="31"/>
        <v>10314281.944063887</v>
      </c>
      <c r="G340" s="22">
        <f t="shared" si="34"/>
        <v>41642738.326294929</v>
      </c>
    </row>
    <row r="341" spans="1:7">
      <c r="A341" s="20">
        <f t="shared" si="32"/>
        <v>320</v>
      </c>
      <c r="B341" s="21">
        <f t="shared" si="28"/>
        <v>51136</v>
      </c>
      <c r="C341" s="22">
        <f t="shared" si="33"/>
        <v>10314281.944063887</v>
      </c>
      <c r="D341" s="22">
        <f t="shared" si="29"/>
        <v>36529.748551892939</v>
      </c>
      <c r="E341" s="22">
        <f t="shared" si="30"/>
        <v>234189.30021653447</v>
      </c>
      <c r="F341" s="22">
        <f t="shared" si="31"/>
        <v>10080092.643847352</v>
      </c>
      <c r="G341" s="22">
        <f t="shared" si="34"/>
        <v>41679268.074846819</v>
      </c>
    </row>
    <row r="342" spans="1:7">
      <c r="A342" s="20">
        <f t="shared" si="32"/>
        <v>321</v>
      </c>
      <c r="B342" s="21">
        <f t="shared" ref="B342:B381" si="35">Show.Date</f>
        <v>51167</v>
      </c>
      <c r="C342" s="22">
        <f t="shared" si="33"/>
        <v>10080092.643847352</v>
      </c>
      <c r="D342" s="22">
        <f t="shared" ref="D342:D381" si="36">Interest</f>
        <v>35700.328113626041</v>
      </c>
      <c r="E342" s="22">
        <f t="shared" ref="E342:E381" si="37">Principal+H342</f>
        <v>235018.72065480135</v>
      </c>
      <c r="F342" s="22">
        <f t="shared" ref="F342:F381" si="38">Ending.Balance</f>
        <v>9845073.9231925514</v>
      </c>
      <c r="G342" s="22">
        <f t="shared" si="34"/>
        <v>41714968.402960442</v>
      </c>
    </row>
    <row r="343" spans="1:7">
      <c r="A343" s="20">
        <f t="shared" ref="A343:A381" si="39">payment.Num</f>
        <v>322</v>
      </c>
      <c r="B343" s="21">
        <f t="shared" si="35"/>
        <v>51196</v>
      </c>
      <c r="C343" s="22">
        <f t="shared" ref="C343:C381" si="40">Beg.Bal</f>
        <v>9845073.9231925514</v>
      </c>
      <c r="D343" s="22">
        <f t="shared" si="36"/>
        <v>34867.970144640291</v>
      </c>
      <c r="E343" s="22">
        <f t="shared" si="37"/>
        <v>235851.07862378709</v>
      </c>
      <c r="F343" s="22">
        <f t="shared" si="38"/>
        <v>9609222.8445687648</v>
      </c>
      <c r="G343" s="22">
        <f t="shared" ref="G343:G381" si="41">Cum.Interest</f>
        <v>41749836.373105079</v>
      </c>
    </row>
    <row r="344" spans="1:7">
      <c r="A344" s="20">
        <f t="shared" si="39"/>
        <v>323</v>
      </c>
      <c r="B344" s="21">
        <f t="shared" si="35"/>
        <v>51227</v>
      </c>
      <c r="C344" s="22">
        <f t="shared" si="40"/>
        <v>9609222.8445687648</v>
      </c>
      <c r="D344" s="22">
        <f t="shared" si="36"/>
        <v>34032.664241181046</v>
      </c>
      <c r="E344" s="22">
        <f t="shared" si="37"/>
        <v>236686.38452724635</v>
      </c>
      <c r="F344" s="22">
        <f t="shared" si="38"/>
        <v>9372536.4600415193</v>
      </c>
      <c r="G344" s="22">
        <f t="shared" si="41"/>
        <v>41783869.037346259</v>
      </c>
    </row>
    <row r="345" spans="1:7">
      <c r="A345" s="20">
        <f t="shared" si="39"/>
        <v>324</v>
      </c>
      <c r="B345" s="21">
        <f t="shared" si="35"/>
        <v>51257</v>
      </c>
      <c r="C345" s="22">
        <f t="shared" si="40"/>
        <v>9372536.4600415193</v>
      </c>
      <c r="D345" s="22">
        <f t="shared" si="36"/>
        <v>33194.399962647047</v>
      </c>
      <c r="E345" s="22">
        <f t="shared" si="37"/>
        <v>237524.64880578034</v>
      </c>
      <c r="F345" s="22">
        <f t="shared" si="38"/>
        <v>9135011.8112357389</v>
      </c>
      <c r="G345" s="22">
        <f t="shared" si="41"/>
        <v>41817063.437308908</v>
      </c>
    </row>
    <row r="346" spans="1:7">
      <c r="A346" s="20">
        <f t="shared" si="39"/>
        <v>325</v>
      </c>
      <c r="B346" s="21">
        <f t="shared" si="35"/>
        <v>51288</v>
      </c>
      <c r="C346" s="22">
        <f t="shared" si="40"/>
        <v>9135011.8112357389</v>
      </c>
      <c r="D346" s="22">
        <f t="shared" si="36"/>
        <v>32353.166831459912</v>
      </c>
      <c r="E346" s="22">
        <f t="shared" si="37"/>
        <v>238365.88193696749</v>
      </c>
      <c r="F346" s="22">
        <f t="shared" si="38"/>
        <v>8896645.9292987715</v>
      </c>
      <c r="G346" s="22">
        <f t="shared" si="41"/>
        <v>41849416.604140371</v>
      </c>
    </row>
    <row r="347" spans="1:7">
      <c r="A347" s="20">
        <f t="shared" si="39"/>
        <v>326</v>
      </c>
      <c r="B347" s="21">
        <f t="shared" si="35"/>
        <v>51318</v>
      </c>
      <c r="C347" s="22">
        <f t="shared" si="40"/>
        <v>8896645.9292987715</v>
      </c>
      <c r="D347" s="22">
        <f t="shared" si="36"/>
        <v>31508.95433293315</v>
      </c>
      <c r="E347" s="22">
        <f t="shared" si="37"/>
        <v>239210.09443549425</v>
      </c>
      <c r="F347" s="22">
        <f t="shared" si="38"/>
        <v>8657435.8348632772</v>
      </c>
      <c r="G347" s="22">
        <f t="shared" si="41"/>
        <v>41880925.558473304</v>
      </c>
    </row>
    <row r="348" spans="1:7">
      <c r="A348" s="20">
        <f t="shared" si="39"/>
        <v>327</v>
      </c>
      <c r="B348" s="21">
        <f t="shared" si="35"/>
        <v>51349</v>
      </c>
      <c r="C348" s="22">
        <f t="shared" si="40"/>
        <v>8657435.8348632772</v>
      </c>
      <c r="D348" s="22">
        <f t="shared" si="36"/>
        <v>30661.751915140776</v>
      </c>
      <c r="E348" s="22">
        <f t="shared" si="37"/>
        <v>240057.29685328662</v>
      </c>
      <c r="F348" s="22">
        <f t="shared" si="38"/>
        <v>8417378.53800999</v>
      </c>
      <c r="G348" s="22">
        <f t="shared" si="41"/>
        <v>41911587.310388446</v>
      </c>
    </row>
    <row r="349" spans="1:7">
      <c r="A349" s="20">
        <f t="shared" si="39"/>
        <v>328</v>
      </c>
      <c r="B349" s="21">
        <f t="shared" si="35"/>
        <v>51380</v>
      </c>
      <c r="C349" s="22">
        <f t="shared" si="40"/>
        <v>8417378.53800999</v>
      </c>
      <c r="D349" s="22">
        <f t="shared" si="36"/>
        <v>29811.548988785384</v>
      </c>
      <c r="E349" s="22">
        <f t="shared" si="37"/>
        <v>240907.49977964201</v>
      </c>
      <c r="F349" s="22">
        <f t="shared" si="38"/>
        <v>8176471.0382303484</v>
      </c>
      <c r="G349" s="22">
        <f t="shared" si="41"/>
        <v>41941398.859377228</v>
      </c>
    </row>
    <row r="350" spans="1:7">
      <c r="A350" s="20">
        <f t="shared" si="39"/>
        <v>329</v>
      </c>
      <c r="B350" s="21">
        <f t="shared" si="35"/>
        <v>51410</v>
      </c>
      <c r="C350" s="22">
        <f t="shared" si="40"/>
        <v>8176471.0382303484</v>
      </c>
      <c r="D350" s="22">
        <f t="shared" si="36"/>
        <v>28958.334927065818</v>
      </c>
      <c r="E350" s="22">
        <f t="shared" si="37"/>
        <v>241760.71384136158</v>
      </c>
      <c r="F350" s="22">
        <f t="shared" si="38"/>
        <v>7934710.3243889865</v>
      </c>
      <c r="G350" s="22">
        <f t="shared" si="41"/>
        <v>41970357.194304295</v>
      </c>
    </row>
    <row r="351" spans="1:7">
      <c r="A351" s="20">
        <f t="shared" si="39"/>
        <v>330</v>
      </c>
      <c r="B351" s="21">
        <f t="shared" si="35"/>
        <v>51441</v>
      </c>
      <c r="C351" s="22">
        <f t="shared" si="40"/>
        <v>7934710.3243889865</v>
      </c>
      <c r="D351" s="22">
        <f t="shared" si="36"/>
        <v>28102.099065544327</v>
      </c>
      <c r="E351" s="22">
        <f t="shared" si="37"/>
        <v>242616.94970288308</v>
      </c>
      <c r="F351" s="22">
        <f t="shared" si="38"/>
        <v>7692093.3746861033</v>
      </c>
      <c r="G351" s="22">
        <f t="shared" si="41"/>
        <v>41998459.293369837</v>
      </c>
    </row>
    <row r="352" spans="1:7">
      <c r="A352" s="20">
        <f t="shared" si="39"/>
        <v>331</v>
      </c>
      <c r="B352" s="21">
        <f t="shared" si="35"/>
        <v>51471</v>
      </c>
      <c r="C352" s="22">
        <f t="shared" si="40"/>
        <v>7692093.3746861033</v>
      </c>
      <c r="D352" s="22">
        <f t="shared" si="36"/>
        <v>27242.830702013285</v>
      </c>
      <c r="E352" s="22">
        <f t="shared" si="37"/>
        <v>243476.21806641412</v>
      </c>
      <c r="F352" s="22">
        <f t="shared" si="38"/>
        <v>7448617.1566196894</v>
      </c>
      <c r="G352" s="22">
        <f t="shared" si="41"/>
        <v>42025702.124071851</v>
      </c>
    </row>
    <row r="353" spans="1:7">
      <c r="A353" s="20">
        <f t="shared" si="39"/>
        <v>332</v>
      </c>
      <c r="B353" s="21">
        <f t="shared" si="35"/>
        <v>51502</v>
      </c>
      <c r="C353" s="22">
        <f t="shared" si="40"/>
        <v>7448617.1566196894</v>
      </c>
      <c r="D353" s="22">
        <f t="shared" si="36"/>
        <v>26380.5190963614</v>
      </c>
      <c r="E353" s="22">
        <f t="shared" si="37"/>
        <v>244338.52967206598</v>
      </c>
      <c r="F353" s="22">
        <f t="shared" si="38"/>
        <v>7204278.6269476237</v>
      </c>
      <c r="G353" s="22">
        <f t="shared" si="41"/>
        <v>42052082.643168211</v>
      </c>
    </row>
    <row r="354" spans="1:7">
      <c r="A354" s="20">
        <f t="shared" si="39"/>
        <v>333</v>
      </c>
      <c r="B354" s="21">
        <f t="shared" si="35"/>
        <v>51533</v>
      </c>
      <c r="C354" s="22">
        <f t="shared" si="40"/>
        <v>7204278.6269476237</v>
      </c>
      <c r="D354" s="22">
        <f t="shared" si="36"/>
        <v>25515.153470439502</v>
      </c>
      <c r="E354" s="22">
        <f t="shared" si="37"/>
        <v>245203.89529798791</v>
      </c>
      <c r="F354" s="22">
        <f t="shared" si="38"/>
        <v>6959074.7316496354</v>
      </c>
      <c r="G354" s="22">
        <f t="shared" si="41"/>
        <v>42077597.796638653</v>
      </c>
    </row>
    <row r="355" spans="1:7">
      <c r="A355" s="20">
        <f t="shared" si="39"/>
        <v>334</v>
      </c>
      <c r="B355" s="21">
        <f t="shared" si="35"/>
        <v>51561</v>
      </c>
      <c r="C355" s="22">
        <f t="shared" si="40"/>
        <v>6959074.7316496354</v>
      </c>
      <c r="D355" s="22">
        <f t="shared" si="36"/>
        <v>24646.723007925793</v>
      </c>
      <c r="E355" s="22">
        <f t="shared" si="37"/>
        <v>246072.32576050161</v>
      </c>
      <c r="F355" s="22">
        <f t="shared" si="38"/>
        <v>6713002.4058891339</v>
      </c>
      <c r="G355" s="22">
        <f t="shared" si="41"/>
        <v>42102244.519646578</v>
      </c>
    </row>
    <row r="356" spans="1:7">
      <c r="A356" s="20">
        <f t="shared" si="39"/>
        <v>335</v>
      </c>
      <c r="B356" s="21">
        <f t="shared" si="35"/>
        <v>51592</v>
      </c>
      <c r="C356" s="22">
        <f t="shared" si="40"/>
        <v>6713002.4058891339</v>
      </c>
      <c r="D356" s="22">
        <f t="shared" si="36"/>
        <v>23775.216854190683</v>
      </c>
      <c r="E356" s="22">
        <f t="shared" si="37"/>
        <v>246943.83191423671</v>
      </c>
      <c r="F356" s="22">
        <f t="shared" si="38"/>
        <v>6466058.5739748972</v>
      </c>
      <c r="G356" s="22">
        <f t="shared" si="41"/>
        <v>42126019.73650077</v>
      </c>
    </row>
    <row r="357" spans="1:7">
      <c r="A357" s="20">
        <f t="shared" si="39"/>
        <v>336</v>
      </c>
      <c r="B357" s="21">
        <f t="shared" si="35"/>
        <v>51622</v>
      </c>
      <c r="C357" s="22">
        <f t="shared" si="40"/>
        <v>6466058.5739748972</v>
      </c>
      <c r="D357" s="22">
        <f t="shared" si="36"/>
        <v>22900.624116161096</v>
      </c>
      <c r="E357" s="22">
        <f t="shared" si="37"/>
        <v>247818.42465226632</v>
      </c>
      <c r="F357" s="22">
        <f t="shared" si="38"/>
        <v>6218240.1493226308</v>
      </c>
      <c r="G357" s="22">
        <f t="shared" si="41"/>
        <v>42148920.36061693</v>
      </c>
    </row>
    <row r="358" spans="1:7">
      <c r="A358" s="20">
        <f t="shared" si="39"/>
        <v>337</v>
      </c>
      <c r="B358" s="21">
        <f t="shared" si="35"/>
        <v>51653</v>
      </c>
      <c r="C358" s="22">
        <f t="shared" si="40"/>
        <v>6218240.1493226308</v>
      </c>
      <c r="D358" s="22">
        <f t="shared" si="36"/>
        <v>22022.93386218432</v>
      </c>
      <c r="E358" s="22">
        <f t="shared" si="37"/>
        <v>248696.11490624308</v>
      </c>
      <c r="F358" s="22">
        <f t="shared" si="38"/>
        <v>5969544.0344163878</v>
      </c>
      <c r="G358" s="22">
        <f t="shared" si="41"/>
        <v>42170943.294479117</v>
      </c>
    </row>
    <row r="359" spans="1:7">
      <c r="A359" s="20">
        <f t="shared" si="39"/>
        <v>338</v>
      </c>
      <c r="B359" s="21">
        <f t="shared" si="35"/>
        <v>51683</v>
      </c>
      <c r="C359" s="22">
        <f t="shared" si="40"/>
        <v>5969544.0344163878</v>
      </c>
      <c r="D359" s="22">
        <f t="shared" si="36"/>
        <v>21142.135121891373</v>
      </c>
      <c r="E359" s="22">
        <f t="shared" si="37"/>
        <v>249576.91364653604</v>
      </c>
      <c r="F359" s="22">
        <f t="shared" si="38"/>
        <v>5719967.1207698518</v>
      </c>
      <c r="G359" s="22">
        <f t="shared" si="41"/>
        <v>42192085.429601006</v>
      </c>
    </row>
    <row r="360" spans="1:7">
      <c r="A360" s="20">
        <f t="shared" si="39"/>
        <v>339</v>
      </c>
      <c r="B360" s="21">
        <f t="shared" si="35"/>
        <v>51714</v>
      </c>
      <c r="C360" s="22">
        <f t="shared" si="40"/>
        <v>5719967.1207698518</v>
      </c>
      <c r="D360" s="22">
        <f t="shared" si="36"/>
        <v>20258.216886059894</v>
      </c>
      <c r="E360" s="22">
        <f t="shared" si="37"/>
        <v>250460.83188236749</v>
      </c>
      <c r="F360" s="22">
        <f t="shared" si="38"/>
        <v>5469506.288887484</v>
      </c>
      <c r="G360" s="22">
        <f t="shared" si="41"/>
        <v>42212343.646487065</v>
      </c>
    </row>
    <row r="361" spans="1:7">
      <c r="A361" s="20">
        <f t="shared" si="39"/>
        <v>340</v>
      </c>
      <c r="B361" s="21">
        <f t="shared" si="35"/>
        <v>51745</v>
      </c>
      <c r="C361" s="22">
        <f t="shared" si="40"/>
        <v>5469506.288887484</v>
      </c>
      <c r="D361" s="22">
        <f t="shared" si="36"/>
        <v>19371.168106476507</v>
      </c>
      <c r="E361" s="22">
        <f t="shared" si="37"/>
        <v>251347.88066195088</v>
      </c>
      <c r="F361" s="22">
        <f t="shared" si="38"/>
        <v>5218158.4082255336</v>
      </c>
      <c r="G361" s="22">
        <f t="shared" si="41"/>
        <v>42231714.814593539</v>
      </c>
    </row>
    <row r="362" spans="1:7">
      <c r="A362" s="20">
        <f t="shared" si="39"/>
        <v>341</v>
      </c>
      <c r="B362" s="21">
        <f t="shared" si="35"/>
        <v>51775</v>
      </c>
      <c r="C362" s="22">
        <f t="shared" si="40"/>
        <v>5218158.4082255336</v>
      </c>
      <c r="D362" s="22">
        <f t="shared" si="36"/>
        <v>18480.977695798767</v>
      </c>
      <c r="E362" s="22">
        <f t="shared" si="37"/>
        <v>252238.07107262863</v>
      </c>
      <c r="F362" s="22">
        <f t="shared" si="38"/>
        <v>4965920.3371529048</v>
      </c>
      <c r="G362" s="22">
        <f t="shared" si="41"/>
        <v>42250195.792289339</v>
      </c>
    </row>
    <row r="363" spans="1:7">
      <c r="A363" s="20">
        <f t="shared" si="39"/>
        <v>342</v>
      </c>
      <c r="B363" s="21">
        <f t="shared" si="35"/>
        <v>51806</v>
      </c>
      <c r="C363" s="22">
        <f t="shared" si="40"/>
        <v>4965920.3371529048</v>
      </c>
      <c r="D363" s="22">
        <f t="shared" si="36"/>
        <v>17587.63452741654</v>
      </c>
      <c r="E363" s="22">
        <f t="shared" si="37"/>
        <v>253131.41424101085</v>
      </c>
      <c r="F363" s="22">
        <f t="shared" si="38"/>
        <v>4712788.9229118936</v>
      </c>
      <c r="G363" s="22">
        <f t="shared" si="41"/>
        <v>42267783.426816754</v>
      </c>
    </row>
    <row r="364" spans="1:7">
      <c r="A364" s="20">
        <f t="shared" si="39"/>
        <v>343</v>
      </c>
      <c r="B364" s="21">
        <f t="shared" si="35"/>
        <v>51836</v>
      </c>
      <c r="C364" s="22">
        <f t="shared" si="40"/>
        <v>4712788.9229118936</v>
      </c>
      <c r="D364" s="22">
        <f t="shared" si="36"/>
        <v>16691.127435312959</v>
      </c>
      <c r="E364" s="22">
        <f t="shared" si="37"/>
        <v>254027.92133311444</v>
      </c>
      <c r="F364" s="22">
        <f t="shared" si="38"/>
        <v>4458761.001578779</v>
      </c>
      <c r="G364" s="22">
        <f t="shared" si="41"/>
        <v>42284474.554252066</v>
      </c>
    </row>
    <row r="365" spans="1:7">
      <c r="A365" s="20">
        <f t="shared" si="39"/>
        <v>344</v>
      </c>
      <c r="B365" s="21">
        <f t="shared" si="35"/>
        <v>51867</v>
      </c>
      <c r="C365" s="22">
        <f t="shared" si="40"/>
        <v>4458761.001578779</v>
      </c>
      <c r="D365" s="22">
        <f t="shared" si="36"/>
        <v>15791.445213924842</v>
      </c>
      <c r="E365" s="22">
        <f t="shared" si="37"/>
        <v>254927.60355450257</v>
      </c>
      <c r="F365" s="22">
        <f t="shared" si="38"/>
        <v>4203833.3980242768</v>
      </c>
      <c r="G365" s="22">
        <f t="shared" si="41"/>
        <v>42300265.999465987</v>
      </c>
    </row>
    <row r="366" spans="1:7">
      <c r="A366" s="20">
        <f t="shared" si="39"/>
        <v>345</v>
      </c>
      <c r="B366" s="21">
        <f t="shared" si="35"/>
        <v>51898</v>
      </c>
      <c r="C366" s="22">
        <f t="shared" si="40"/>
        <v>4203833.3980242768</v>
      </c>
      <c r="D366" s="22">
        <f t="shared" si="36"/>
        <v>14888.576618002648</v>
      </c>
      <c r="E366" s="22">
        <f t="shared" si="37"/>
        <v>255830.47215042476</v>
      </c>
      <c r="F366" s="22">
        <f t="shared" si="38"/>
        <v>3948002.9258738519</v>
      </c>
      <c r="G366" s="22">
        <f t="shared" si="41"/>
        <v>42315154.576083988</v>
      </c>
    </row>
    <row r="367" spans="1:7">
      <c r="A367" s="20">
        <f t="shared" si="39"/>
        <v>346</v>
      </c>
      <c r="B367" s="21">
        <f t="shared" si="35"/>
        <v>51926</v>
      </c>
      <c r="C367" s="22">
        <f t="shared" si="40"/>
        <v>3948002.9258738519</v>
      </c>
      <c r="D367" s="22">
        <f t="shared" si="36"/>
        <v>13982.510362469893</v>
      </c>
      <c r="E367" s="22">
        <f t="shared" si="37"/>
        <v>256736.53840595752</v>
      </c>
      <c r="F367" s="22">
        <f t="shared" si="38"/>
        <v>3691266.3874678942</v>
      </c>
      <c r="G367" s="22">
        <f t="shared" si="41"/>
        <v>42329137.086446457</v>
      </c>
    </row>
    <row r="368" spans="1:7">
      <c r="A368" s="20">
        <f t="shared" si="39"/>
        <v>347</v>
      </c>
      <c r="B368" s="21">
        <f t="shared" si="35"/>
        <v>51957</v>
      </c>
      <c r="C368" s="22">
        <f t="shared" si="40"/>
        <v>3691266.3874678942</v>
      </c>
      <c r="D368" s="22">
        <f t="shared" si="36"/>
        <v>13073.235122282127</v>
      </c>
      <c r="E368" s="22">
        <f t="shared" si="37"/>
        <v>257645.81364614528</v>
      </c>
      <c r="F368" s="22">
        <f t="shared" si="38"/>
        <v>3433620.5738217491</v>
      </c>
      <c r="G368" s="22">
        <f t="shared" si="41"/>
        <v>42342210.321568742</v>
      </c>
    </row>
    <row r="369" spans="1:7">
      <c r="A369" s="20">
        <f t="shared" si="39"/>
        <v>348</v>
      </c>
      <c r="B369" s="21">
        <f t="shared" si="35"/>
        <v>51987</v>
      </c>
      <c r="C369" s="22">
        <f t="shared" si="40"/>
        <v>3433620.5738217491</v>
      </c>
      <c r="D369" s="22">
        <f t="shared" si="36"/>
        <v>12160.739532285363</v>
      </c>
      <c r="E369" s="22">
        <f t="shared" si="37"/>
        <v>258558.30923614203</v>
      </c>
      <c r="F369" s="22">
        <f t="shared" si="38"/>
        <v>3175062.2645856072</v>
      </c>
      <c r="G369" s="22">
        <f t="shared" si="41"/>
        <v>42354371.061101027</v>
      </c>
    </row>
    <row r="370" spans="1:7">
      <c r="A370" s="20">
        <f t="shared" si="39"/>
        <v>349</v>
      </c>
      <c r="B370" s="21">
        <f t="shared" si="35"/>
        <v>52018</v>
      </c>
      <c r="C370" s="22">
        <f t="shared" si="40"/>
        <v>3175062.2645856072</v>
      </c>
      <c r="D370" s="22">
        <f t="shared" si="36"/>
        <v>11245.012187074026</v>
      </c>
      <c r="E370" s="22">
        <f t="shared" si="37"/>
        <v>259474.03658135337</v>
      </c>
      <c r="F370" s="22">
        <f t="shared" si="38"/>
        <v>2915588.2280042539</v>
      </c>
      <c r="G370" s="22">
        <f t="shared" si="41"/>
        <v>42365616.073288098</v>
      </c>
    </row>
    <row r="371" spans="1:7">
      <c r="A371" s="20">
        <f t="shared" si="39"/>
        <v>350</v>
      </c>
      <c r="B371" s="21">
        <f t="shared" si="35"/>
        <v>52048</v>
      </c>
      <c r="C371" s="22">
        <f t="shared" si="40"/>
        <v>2915588.2280042539</v>
      </c>
      <c r="D371" s="22">
        <f t="shared" si="36"/>
        <v>10326.0416408484</v>
      </c>
      <c r="E371" s="22">
        <f t="shared" si="37"/>
        <v>260393.00712757901</v>
      </c>
      <c r="F371" s="22">
        <f t="shared" si="38"/>
        <v>2655195.2208766751</v>
      </c>
      <c r="G371" s="22">
        <f t="shared" si="41"/>
        <v>42375942.114928946</v>
      </c>
    </row>
    <row r="372" spans="1:7">
      <c r="A372" s="20">
        <f t="shared" si="39"/>
        <v>351</v>
      </c>
      <c r="B372" s="21">
        <f t="shared" si="35"/>
        <v>52079</v>
      </c>
      <c r="C372" s="22">
        <f t="shared" si="40"/>
        <v>2655195.2208766751</v>
      </c>
      <c r="D372" s="22">
        <f t="shared" si="36"/>
        <v>9403.816407271559</v>
      </c>
      <c r="E372" s="22">
        <f t="shared" si="37"/>
        <v>261315.23236115585</v>
      </c>
      <c r="F372" s="22">
        <f t="shared" si="38"/>
        <v>2393879.9885155191</v>
      </c>
      <c r="G372" s="22">
        <f t="shared" si="41"/>
        <v>42385345.931336217</v>
      </c>
    </row>
    <row r="373" spans="1:7">
      <c r="A373" s="20">
        <f t="shared" si="39"/>
        <v>352</v>
      </c>
      <c r="B373" s="21">
        <f t="shared" si="35"/>
        <v>52110</v>
      </c>
      <c r="C373" s="22">
        <f t="shared" si="40"/>
        <v>2393879.9885155191</v>
      </c>
      <c r="D373" s="22">
        <f t="shared" si="36"/>
        <v>8478.324959325797</v>
      </c>
      <c r="E373" s="22">
        <f t="shared" si="37"/>
        <v>262240.72380910162</v>
      </c>
      <c r="F373" s="22">
        <f t="shared" si="38"/>
        <v>2131639.2647064175</v>
      </c>
      <c r="G373" s="22">
        <f t="shared" si="41"/>
        <v>42393824.256295539</v>
      </c>
    </row>
    <row r="374" spans="1:7">
      <c r="A374" s="20">
        <f t="shared" si="39"/>
        <v>353</v>
      </c>
      <c r="B374" s="21">
        <f t="shared" si="35"/>
        <v>52140</v>
      </c>
      <c r="C374" s="22">
        <f t="shared" si="40"/>
        <v>2131639.2647064175</v>
      </c>
      <c r="D374" s="22">
        <f t="shared" si="36"/>
        <v>7549.5557291685627</v>
      </c>
      <c r="E374" s="22">
        <f t="shared" si="37"/>
        <v>263169.49303925881</v>
      </c>
      <c r="F374" s="22">
        <f t="shared" si="38"/>
        <v>1868469.7716671587</v>
      </c>
      <c r="G374" s="22">
        <f t="shared" si="41"/>
        <v>42401373.812024705</v>
      </c>
    </row>
    <row r="375" spans="1:7">
      <c r="A375" s="20">
        <f t="shared" si="39"/>
        <v>354</v>
      </c>
      <c r="B375" s="21">
        <f t="shared" si="35"/>
        <v>52171</v>
      </c>
      <c r="C375" s="22">
        <f t="shared" si="40"/>
        <v>1868469.7716671587</v>
      </c>
      <c r="D375" s="22">
        <f t="shared" si="36"/>
        <v>6617.4971079878542</v>
      </c>
      <c r="E375" s="22">
        <f t="shared" si="37"/>
        <v>264101.55166043952</v>
      </c>
      <c r="F375" s="22">
        <f t="shared" si="38"/>
        <v>1604368.2200067192</v>
      </c>
      <c r="G375" s="22">
        <f t="shared" si="41"/>
        <v>42407991.309132695</v>
      </c>
    </row>
    <row r="376" spans="1:7">
      <c r="A376" s="20">
        <f t="shared" si="39"/>
        <v>355</v>
      </c>
      <c r="B376" s="21">
        <f t="shared" si="35"/>
        <v>52201</v>
      </c>
      <c r="C376" s="22">
        <f t="shared" si="40"/>
        <v>1604368.2200067192</v>
      </c>
      <c r="D376" s="22">
        <f t="shared" si="36"/>
        <v>5682.1374458571308</v>
      </c>
      <c r="E376" s="22">
        <f t="shared" si="37"/>
        <v>265036.91132257029</v>
      </c>
      <c r="F376" s="22">
        <f t="shared" si="38"/>
        <v>1339331.3086841488</v>
      </c>
      <c r="G376" s="22">
        <f t="shared" si="41"/>
        <v>42413673.446578555</v>
      </c>
    </row>
    <row r="377" spans="1:7">
      <c r="A377" s="20">
        <f t="shared" si="39"/>
        <v>356</v>
      </c>
      <c r="B377" s="21">
        <f t="shared" si="35"/>
        <v>52232</v>
      </c>
      <c r="C377" s="22">
        <f t="shared" si="40"/>
        <v>1339331.3086841488</v>
      </c>
      <c r="D377" s="22">
        <f t="shared" si="36"/>
        <v>4743.4650515896938</v>
      </c>
      <c r="E377" s="22">
        <f t="shared" si="37"/>
        <v>265975.58371683769</v>
      </c>
      <c r="F377" s="22">
        <f t="shared" si="38"/>
        <v>1073355.7249673111</v>
      </c>
      <c r="G377" s="22">
        <f t="shared" si="41"/>
        <v>42418416.911630146</v>
      </c>
    </row>
    <row r="378" spans="1:7">
      <c r="A378" s="20">
        <f t="shared" si="39"/>
        <v>357</v>
      </c>
      <c r="B378" s="21">
        <f t="shared" si="35"/>
        <v>52263</v>
      </c>
      <c r="C378" s="22">
        <f t="shared" si="40"/>
        <v>1073355.7249673111</v>
      </c>
      <c r="D378" s="22">
        <f t="shared" si="36"/>
        <v>3801.4681925925606</v>
      </c>
      <c r="E378" s="22">
        <f t="shared" si="37"/>
        <v>266917.58057583484</v>
      </c>
      <c r="F378" s="22">
        <f t="shared" si="38"/>
        <v>806438.14439147629</v>
      </c>
      <c r="G378" s="22">
        <f t="shared" si="41"/>
        <v>42422218.379822738</v>
      </c>
    </row>
    <row r="379" spans="1:7">
      <c r="A379" s="20">
        <f t="shared" si="39"/>
        <v>358</v>
      </c>
      <c r="B379" s="21">
        <f t="shared" si="35"/>
        <v>52291</v>
      </c>
      <c r="C379" s="22">
        <f t="shared" si="40"/>
        <v>806438.14439147629</v>
      </c>
      <c r="D379" s="22">
        <f t="shared" si="36"/>
        <v>2856.1350947198121</v>
      </c>
      <c r="E379" s="22">
        <f t="shared" si="37"/>
        <v>267862.91367370758</v>
      </c>
      <c r="F379" s="22">
        <f t="shared" si="38"/>
        <v>538575.23071776866</v>
      </c>
      <c r="G379" s="22">
        <f t="shared" si="41"/>
        <v>42425074.514917456</v>
      </c>
    </row>
    <row r="380" spans="1:7">
      <c r="A380" s="20">
        <f t="shared" si="39"/>
        <v>359</v>
      </c>
      <c r="B380" s="21">
        <f t="shared" si="35"/>
        <v>52322</v>
      </c>
      <c r="C380" s="22">
        <f t="shared" si="40"/>
        <v>538575.23071776866</v>
      </c>
      <c r="D380" s="22">
        <f t="shared" si="36"/>
        <v>1907.4539421254308</v>
      </c>
      <c r="E380" s="22">
        <f t="shared" si="37"/>
        <v>268811.59482630197</v>
      </c>
      <c r="F380" s="22">
        <f t="shared" si="38"/>
        <v>269763.63589146669</v>
      </c>
      <c r="G380" s="22">
        <f t="shared" si="41"/>
        <v>42426981.968859583</v>
      </c>
    </row>
    <row r="381" spans="1:7">
      <c r="A381" s="20">
        <f t="shared" si="39"/>
        <v>360</v>
      </c>
      <c r="B381" s="21">
        <f t="shared" si="35"/>
        <v>52352</v>
      </c>
      <c r="C381" s="22">
        <f t="shared" si="40"/>
        <v>269763.63589146669</v>
      </c>
      <c r="D381" s="22">
        <f t="shared" si="36"/>
        <v>955.41287711561131</v>
      </c>
      <c r="E381" s="22">
        <f t="shared" si="37"/>
        <v>269763.6358913118</v>
      </c>
      <c r="F381" s="22">
        <f t="shared" si="38"/>
        <v>1.5489058569073677E-7</v>
      </c>
      <c r="G381" s="22">
        <f t="shared" si="41"/>
        <v>42427937.381736696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BC45-479F-4EC3-A5CB-D1ECFA9DB761}">
  <sheetPr>
    <tabColor theme="0"/>
  </sheetPr>
  <dimension ref="B2:D39"/>
  <sheetViews>
    <sheetView workbookViewId="0">
      <selection activeCell="C23" sqref="C23"/>
    </sheetView>
  </sheetViews>
  <sheetFormatPr defaultRowHeight="15"/>
  <cols>
    <col min="2" max="2" width="27.28515625" bestFit="1" customWidth="1"/>
    <col min="3" max="3" width="10.5703125" style="235" bestFit="1" customWidth="1"/>
  </cols>
  <sheetData>
    <row r="2" spans="2:3">
      <c r="B2" t="s">
        <v>231</v>
      </c>
      <c r="C2" s="235">
        <v>80000</v>
      </c>
    </row>
    <row r="3" spans="2:3">
      <c r="B3" t="s">
        <v>183</v>
      </c>
      <c r="C3" s="235">
        <v>55000</v>
      </c>
    </row>
    <row r="4" spans="2:3">
      <c r="B4" t="s">
        <v>183</v>
      </c>
      <c r="C4" s="235">
        <v>55000</v>
      </c>
    </row>
    <row r="5" spans="2:3">
      <c r="B5" t="s">
        <v>232</v>
      </c>
      <c r="C5" s="235">
        <v>55000</v>
      </c>
    </row>
    <row r="6" spans="2:3">
      <c r="B6" t="s">
        <v>233</v>
      </c>
      <c r="C6" s="235">
        <v>35000</v>
      </c>
    </row>
    <row r="7" spans="2:3">
      <c r="B7" t="s">
        <v>233</v>
      </c>
      <c r="C7" s="235">
        <v>35000</v>
      </c>
    </row>
    <row r="8" spans="2:3">
      <c r="B8" t="s">
        <v>233</v>
      </c>
      <c r="C8" s="235">
        <v>35000</v>
      </c>
    </row>
    <row r="9" spans="2:3">
      <c r="B9" t="s">
        <v>233</v>
      </c>
      <c r="C9" s="235">
        <v>35000</v>
      </c>
    </row>
    <row r="10" spans="2:3">
      <c r="B10" t="s">
        <v>233</v>
      </c>
      <c r="C10" s="235">
        <v>30000</v>
      </c>
    </row>
    <row r="11" spans="2:3">
      <c r="B11" t="s">
        <v>233</v>
      </c>
      <c r="C11" s="235">
        <v>30000</v>
      </c>
    </row>
    <row r="13" spans="2:3">
      <c r="B13" t="s">
        <v>239</v>
      </c>
      <c r="C13" s="235">
        <v>80000</v>
      </c>
    </row>
    <row r="14" spans="2:3">
      <c r="B14" t="s">
        <v>240</v>
      </c>
      <c r="C14" s="235">
        <v>60000</v>
      </c>
    </row>
    <row r="15" spans="2:3">
      <c r="B15" t="s">
        <v>240</v>
      </c>
      <c r="C15" s="235">
        <v>60000</v>
      </c>
    </row>
    <row r="16" spans="2:3">
      <c r="B16" t="s">
        <v>241</v>
      </c>
      <c r="C16" s="235">
        <v>40000</v>
      </c>
    </row>
    <row r="17" spans="2:3">
      <c r="B17" t="s">
        <v>241</v>
      </c>
      <c r="C17" s="235">
        <v>40000</v>
      </c>
    </row>
    <row r="18" spans="2:3">
      <c r="B18" t="s">
        <v>241</v>
      </c>
      <c r="C18" s="235">
        <v>40000</v>
      </c>
    </row>
    <row r="19" spans="2:3">
      <c r="B19" t="s">
        <v>241</v>
      </c>
      <c r="C19" s="235">
        <v>37000</v>
      </c>
    </row>
    <row r="20" spans="2:3">
      <c r="B20" t="s">
        <v>241</v>
      </c>
      <c r="C20" s="235">
        <v>35000</v>
      </c>
    </row>
    <row r="21" spans="2:3">
      <c r="B21" t="s">
        <v>241</v>
      </c>
      <c r="C21" s="235">
        <v>35000</v>
      </c>
    </row>
    <row r="22" spans="2:3">
      <c r="B22" t="s">
        <v>241</v>
      </c>
      <c r="C22" s="235">
        <v>35000</v>
      </c>
    </row>
    <row r="23" spans="2:3">
      <c r="B23" t="s">
        <v>241</v>
      </c>
      <c r="C23" s="235">
        <v>30000</v>
      </c>
    </row>
    <row r="24" spans="2:3">
      <c r="B24" t="s">
        <v>241</v>
      </c>
      <c r="C24" s="235">
        <v>30000</v>
      </c>
    </row>
    <row r="25" spans="2:3">
      <c r="B25" t="s">
        <v>241</v>
      </c>
      <c r="C25" s="235">
        <v>30000</v>
      </c>
    </row>
    <row r="26" spans="2:3">
      <c r="B26" t="s">
        <v>241</v>
      </c>
      <c r="C26" s="235">
        <v>30000</v>
      </c>
    </row>
    <row r="27" spans="2:3">
      <c r="B27" t="s">
        <v>234</v>
      </c>
      <c r="C27" s="235">
        <v>35000</v>
      </c>
    </row>
    <row r="28" spans="2:3">
      <c r="B28" t="s">
        <v>234</v>
      </c>
      <c r="C28" s="235">
        <v>30000</v>
      </c>
    </row>
    <row r="29" spans="2:3">
      <c r="B29" t="s">
        <v>234</v>
      </c>
      <c r="C29" s="235">
        <v>30000</v>
      </c>
    </row>
    <row r="30" spans="2:3">
      <c r="B30" t="s">
        <v>235</v>
      </c>
      <c r="C30" s="235">
        <v>30000</v>
      </c>
    </row>
    <row r="31" spans="2:3">
      <c r="B31" t="s">
        <v>235</v>
      </c>
      <c r="C31" s="235">
        <v>25000</v>
      </c>
    </row>
    <row r="32" spans="2:3">
      <c r="B32" t="s">
        <v>235</v>
      </c>
      <c r="C32" s="235">
        <v>25000</v>
      </c>
    </row>
    <row r="35" spans="2:4" ht="15.75" thickBot="1">
      <c r="C35" s="235">
        <f>SUM(C2:C34)</f>
        <v>1202000</v>
      </c>
    </row>
    <row r="36" spans="2:4" ht="15.75" thickBot="1">
      <c r="B36" s="522" t="s">
        <v>236</v>
      </c>
      <c r="C36" s="552">
        <f>C35*D36</f>
        <v>300500</v>
      </c>
      <c r="D36" s="553">
        <v>0.25</v>
      </c>
    </row>
    <row r="37" spans="2:4" ht="15.75" thickBot="1"/>
    <row r="38" spans="2:4" ht="15.75" thickBot="1">
      <c r="B38" s="522" t="s">
        <v>237</v>
      </c>
      <c r="C38" s="554">
        <f>SUM(C35:C37)</f>
        <v>1502500</v>
      </c>
    </row>
    <row r="39" spans="2:4" ht="15.75" thickBot="1">
      <c r="B39" s="522" t="s">
        <v>238</v>
      </c>
      <c r="C39" s="554">
        <f>C38/1836</f>
        <v>818.35511982570802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C8A0-526F-4949-9224-6AF25AA59BAA}">
  <dimension ref="B1:L41"/>
  <sheetViews>
    <sheetView workbookViewId="0">
      <selection activeCell="G20" sqref="G20"/>
    </sheetView>
  </sheetViews>
  <sheetFormatPr defaultRowHeight="15"/>
  <cols>
    <col min="2" max="2" width="22.7109375" bestFit="1" customWidth="1"/>
    <col min="3" max="3" width="12.140625" bestFit="1" customWidth="1"/>
    <col min="5" max="5" width="13.5703125" bestFit="1" customWidth="1"/>
    <col min="6" max="6" width="16.140625" bestFit="1" customWidth="1"/>
    <col min="8" max="8" width="46.5703125" bestFit="1" customWidth="1"/>
    <col min="9" max="9" width="14.5703125" bestFit="1" customWidth="1"/>
    <col min="11" max="11" width="8.28515625" bestFit="1" customWidth="1"/>
    <col min="12" max="12" width="13.28515625" bestFit="1" customWidth="1"/>
  </cols>
  <sheetData>
    <row r="1" spans="2:12" ht="15.75" thickBot="1"/>
    <row r="2" spans="2:12" ht="15.75" thickBot="1">
      <c r="B2" s="617" t="s">
        <v>256</v>
      </c>
      <c r="C2" s="618"/>
      <c r="D2" s="618"/>
      <c r="E2" s="618"/>
      <c r="F2" s="619"/>
      <c r="H2" s="617" t="s">
        <v>257</v>
      </c>
      <c r="I2" s="618"/>
      <c r="J2" s="618"/>
      <c r="K2" s="618"/>
      <c r="L2" s="619"/>
    </row>
    <row r="3" spans="2:12" ht="15.75" thickBot="1">
      <c r="B3" s="523" t="s">
        <v>199</v>
      </c>
      <c r="C3" s="524" t="s">
        <v>198</v>
      </c>
      <c r="D3" s="524" t="s">
        <v>197</v>
      </c>
      <c r="E3" s="524" t="s">
        <v>200</v>
      </c>
      <c r="F3" s="555" t="s">
        <v>201</v>
      </c>
      <c r="H3" s="523" t="s">
        <v>199</v>
      </c>
      <c r="I3" s="524" t="s">
        <v>198</v>
      </c>
      <c r="J3" s="524" t="s">
        <v>197</v>
      </c>
      <c r="K3" s="524" t="s">
        <v>200</v>
      </c>
      <c r="L3" s="555" t="s">
        <v>201</v>
      </c>
    </row>
    <row r="4" spans="2:12">
      <c r="B4" t="s">
        <v>189</v>
      </c>
      <c r="C4">
        <v>128</v>
      </c>
      <c r="D4">
        <v>432</v>
      </c>
      <c r="E4" s="35">
        <v>700</v>
      </c>
      <c r="F4" s="500">
        <f>E4*C4</f>
        <v>89600</v>
      </c>
      <c r="H4" t="s">
        <v>189</v>
      </c>
      <c r="I4">
        <v>120</v>
      </c>
      <c r="J4">
        <v>436</v>
      </c>
      <c r="K4" s="35">
        <v>715</v>
      </c>
      <c r="L4" s="500">
        <f>K4*I4</f>
        <v>85800</v>
      </c>
    </row>
    <row r="5" spans="2:12">
      <c r="B5" t="s">
        <v>189</v>
      </c>
      <c r="C5">
        <v>104</v>
      </c>
      <c r="D5">
        <v>432</v>
      </c>
      <c r="E5" s="35">
        <v>700</v>
      </c>
      <c r="F5" s="500">
        <f t="shared" ref="F5:F15" si="0">E5*C5</f>
        <v>72800</v>
      </c>
      <c r="H5" t="s">
        <v>190</v>
      </c>
      <c r="I5">
        <v>104</v>
      </c>
      <c r="J5">
        <v>800</v>
      </c>
      <c r="K5" s="35">
        <v>815</v>
      </c>
      <c r="L5" s="500">
        <f t="shared" ref="L5:L13" si="1">K5*I5</f>
        <v>84760</v>
      </c>
    </row>
    <row r="6" spans="2:12">
      <c r="B6" t="s">
        <v>190</v>
      </c>
      <c r="C6">
        <v>160</v>
      </c>
      <c r="D6">
        <v>723</v>
      </c>
      <c r="E6" s="35">
        <v>790</v>
      </c>
      <c r="F6" s="500">
        <f t="shared" si="0"/>
        <v>126400</v>
      </c>
      <c r="H6" t="s">
        <v>190</v>
      </c>
      <c r="I6">
        <v>40</v>
      </c>
      <c r="J6">
        <v>900</v>
      </c>
      <c r="K6" s="35">
        <v>830</v>
      </c>
      <c r="L6" s="500">
        <f t="shared" si="1"/>
        <v>33200</v>
      </c>
    </row>
    <row r="7" spans="2:12">
      <c r="B7" t="s">
        <v>190</v>
      </c>
      <c r="C7">
        <v>80</v>
      </c>
      <c r="D7">
        <v>786</v>
      </c>
      <c r="E7" s="35">
        <v>800</v>
      </c>
      <c r="F7" s="500">
        <f t="shared" si="0"/>
        <v>64000</v>
      </c>
      <c r="H7" t="s">
        <v>194</v>
      </c>
      <c r="I7">
        <v>14</v>
      </c>
      <c r="J7" s="499">
        <v>1000</v>
      </c>
      <c r="K7" s="35">
        <v>885</v>
      </c>
      <c r="L7" s="500">
        <f t="shared" si="1"/>
        <v>12390</v>
      </c>
    </row>
    <row r="8" spans="2:12">
      <c r="B8" t="s">
        <v>191</v>
      </c>
      <c r="C8">
        <v>40</v>
      </c>
      <c r="D8" s="499">
        <v>1040</v>
      </c>
      <c r="E8" s="35">
        <v>875</v>
      </c>
      <c r="F8" s="500">
        <f t="shared" si="0"/>
        <v>35000</v>
      </c>
      <c r="H8" t="s">
        <v>192</v>
      </c>
      <c r="I8">
        <v>60</v>
      </c>
      <c r="J8">
        <v>936</v>
      </c>
      <c r="K8" s="35">
        <v>1115</v>
      </c>
      <c r="L8" s="500">
        <f t="shared" si="1"/>
        <v>66900</v>
      </c>
    </row>
    <row r="9" spans="2:12">
      <c r="B9" t="s">
        <v>190</v>
      </c>
      <c r="C9">
        <v>100</v>
      </c>
      <c r="D9">
        <v>723</v>
      </c>
      <c r="E9" s="35">
        <v>790</v>
      </c>
      <c r="F9" s="500">
        <f t="shared" si="0"/>
        <v>79000</v>
      </c>
      <c r="H9" t="s">
        <v>192</v>
      </c>
      <c r="I9">
        <v>24</v>
      </c>
      <c r="J9" s="499">
        <v>1000</v>
      </c>
      <c r="K9" s="35">
        <v>1075</v>
      </c>
      <c r="L9" s="500">
        <f t="shared" si="1"/>
        <v>25800</v>
      </c>
    </row>
    <row r="10" spans="2:12">
      <c r="B10" t="s">
        <v>190</v>
      </c>
      <c r="C10">
        <v>20</v>
      </c>
      <c r="D10">
        <v>748</v>
      </c>
      <c r="E10" s="35">
        <v>800</v>
      </c>
      <c r="F10" s="500">
        <f t="shared" si="0"/>
        <v>16000</v>
      </c>
      <c r="H10" t="s">
        <v>193</v>
      </c>
      <c r="I10">
        <v>80</v>
      </c>
      <c r="J10" s="499">
        <v>1066</v>
      </c>
      <c r="K10" s="35">
        <v>1115</v>
      </c>
      <c r="L10" s="500">
        <f t="shared" si="1"/>
        <v>89200</v>
      </c>
    </row>
    <row r="11" spans="2:12">
      <c r="B11" t="s">
        <v>192</v>
      </c>
      <c r="C11">
        <v>136</v>
      </c>
      <c r="D11" s="499">
        <v>1040</v>
      </c>
      <c r="E11" s="35">
        <v>1050</v>
      </c>
      <c r="F11" s="500">
        <f t="shared" si="0"/>
        <v>142800</v>
      </c>
      <c r="H11" t="s">
        <v>193</v>
      </c>
      <c r="I11">
        <v>111</v>
      </c>
      <c r="J11" s="499">
        <v>1200</v>
      </c>
      <c r="K11" s="35">
        <v>1175</v>
      </c>
      <c r="L11" s="500">
        <f t="shared" si="1"/>
        <v>130425</v>
      </c>
    </row>
    <row r="12" spans="2:12">
      <c r="B12" t="s">
        <v>193</v>
      </c>
      <c r="C12">
        <v>60</v>
      </c>
      <c r="D12" s="499">
        <v>1098</v>
      </c>
      <c r="E12" s="35">
        <v>1100</v>
      </c>
      <c r="F12" s="500">
        <f t="shared" si="0"/>
        <v>66000</v>
      </c>
      <c r="H12" t="s">
        <v>195</v>
      </c>
      <c r="I12">
        <v>10</v>
      </c>
      <c r="J12" s="499">
        <v>1800</v>
      </c>
      <c r="K12" s="35">
        <v>1300</v>
      </c>
      <c r="L12" s="500">
        <f t="shared" si="1"/>
        <v>13000</v>
      </c>
    </row>
    <row r="13" spans="2:12">
      <c r="B13" t="s">
        <v>193</v>
      </c>
      <c r="C13">
        <v>350</v>
      </c>
      <c r="D13" s="499">
        <v>1098</v>
      </c>
      <c r="E13" s="35">
        <v>1100</v>
      </c>
      <c r="F13" s="500">
        <f t="shared" si="0"/>
        <v>385000</v>
      </c>
      <c r="H13" t="s">
        <v>196</v>
      </c>
      <c r="I13">
        <v>20</v>
      </c>
      <c r="J13" s="499">
        <v>1400</v>
      </c>
      <c r="K13" s="35">
        <v>1400</v>
      </c>
      <c r="L13" s="500">
        <f t="shared" si="1"/>
        <v>28000</v>
      </c>
    </row>
    <row r="14" spans="2:12">
      <c r="B14" t="s">
        <v>193</v>
      </c>
      <c r="C14">
        <v>20</v>
      </c>
      <c r="D14" s="499">
        <v>1098</v>
      </c>
      <c r="E14" s="35">
        <v>1100</v>
      </c>
      <c r="F14" s="500">
        <f t="shared" si="0"/>
        <v>22000</v>
      </c>
    </row>
    <row r="15" spans="2:12">
      <c r="B15" t="s">
        <v>193</v>
      </c>
      <c r="C15">
        <v>55</v>
      </c>
      <c r="D15" s="499">
        <v>1098</v>
      </c>
      <c r="E15" s="35">
        <v>1100</v>
      </c>
      <c r="F15" s="500">
        <f t="shared" si="0"/>
        <v>60500</v>
      </c>
    </row>
    <row r="16" spans="2:12" ht="15.75" thickBot="1"/>
    <row r="17" spans="2:12" ht="15.75" thickBot="1">
      <c r="B17" s="522"/>
      <c r="C17" s="558">
        <f>SUM(C4:C16)</f>
        <v>1253</v>
      </c>
      <c r="D17" s="524"/>
      <c r="E17" s="559">
        <f>F17/C17</f>
        <v>925.05985634477258</v>
      </c>
      <c r="F17" s="557">
        <f>SUM(F4:F16)</f>
        <v>1159100</v>
      </c>
      <c r="H17" s="523"/>
      <c r="I17" s="558">
        <f>SUM(I4:I16)</f>
        <v>583</v>
      </c>
      <c r="J17" s="524"/>
      <c r="K17" s="560">
        <f>L17/I17</f>
        <v>976.80102915951977</v>
      </c>
      <c r="L17" s="556">
        <f>SUM(L4:L16)</f>
        <v>569475</v>
      </c>
    </row>
    <row r="19" spans="2:12">
      <c r="H19" s="500"/>
    </row>
    <row r="20" spans="2:12">
      <c r="H20" s="500"/>
    </row>
    <row r="21" spans="2:12">
      <c r="E21" s="500"/>
    </row>
    <row r="22" spans="2:12">
      <c r="E22" s="500"/>
    </row>
    <row r="24" spans="2:12">
      <c r="H24" s="500"/>
      <c r="I24" s="500"/>
    </row>
    <row r="25" spans="2:12">
      <c r="H25" s="500"/>
    </row>
    <row r="26" spans="2:12">
      <c r="E26" s="35"/>
      <c r="F26" s="500"/>
    </row>
    <row r="27" spans="2:12">
      <c r="E27" s="35"/>
      <c r="F27" s="500"/>
    </row>
    <row r="28" spans="2:12">
      <c r="E28" s="35"/>
      <c r="F28" s="500"/>
    </row>
    <row r="29" spans="2:12">
      <c r="E29" s="35"/>
      <c r="F29" s="500"/>
    </row>
    <row r="30" spans="2:12">
      <c r="D30" s="499"/>
      <c r="E30" s="35"/>
      <c r="F30" s="500"/>
    </row>
    <row r="31" spans="2:12">
      <c r="E31" s="35"/>
      <c r="F31" s="500"/>
    </row>
    <row r="32" spans="2:12">
      <c r="E32" s="35"/>
      <c r="F32" s="500"/>
    </row>
    <row r="33" spans="4:6">
      <c r="D33" s="499"/>
      <c r="E33" s="35"/>
      <c r="F33" s="500"/>
    </row>
    <row r="34" spans="4:6">
      <c r="D34" s="499"/>
      <c r="E34" s="35"/>
      <c r="F34" s="500"/>
    </row>
    <row r="35" spans="4:6">
      <c r="D35" s="499"/>
      <c r="E35" s="35"/>
      <c r="F35" s="500"/>
    </row>
    <row r="36" spans="4:6">
      <c r="D36" s="499"/>
      <c r="E36" s="35"/>
      <c r="F36" s="500"/>
    </row>
    <row r="37" spans="4:6">
      <c r="D37" s="499"/>
      <c r="E37" s="35"/>
      <c r="F37" s="500"/>
    </row>
    <row r="39" spans="4:6">
      <c r="E39" s="500"/>
      <c r="F39" s="500"/>
    </row>
    <row r="41" spans="4:6">
      <c r="F41" s="500"/>
    </row>
  </sheetData>
  <mergeCells count="2"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</vt:i4>
      </vt:variant>
    </vt:vector>
  </HeadingPairs>
  <TitlesOfParts>
    <vt:vector size="32" baseType="lpstr">
      <vt:lpstr>Combined Cash Flow</vt:lpstr>
      <vt:lpstr>CC - Cash Flow Projections</vt:lpstr>
      <vt:lpstr>CC -Reno </vt:lpstr>
      <vt:lpstr>CC -Loan</vt:lpstr>
      <vt:lpstr>B - Cash Flow Projections</vt:lpstr>
      <vt:lpstr>B - Reno </vt:lpstr>
      <vt:lpstr>R -Loan (2)</vt:lpstr>
      <vt:lpstr>Payroll</vt:lpstr>
      <vt:lpstr>Rent Matrix</vt:lpstr>
      <vt:lpstr>Sheet1</vt:lpstr>
      <vt:lpstr>'R -Loan (2)'!Annual_interest_rate</vt:lpstr>
      <vt:lpstr>Annual_interest_rate</vt:lpstr>
      <vt:lpstr>'R -Loan (2)'!Calculated_payment</vt:lpstr>
      <vt:lpstr>Calculated_payment</vt:lpstr>
      <vt:lpstr>'R -Loan (2)'!Entered_payment</vt:lpstr>
      <vt:lpstr>Entered_payment</vt:lpstr>
      <vt:lpstr>'R -Loan (2)'!First_payment_due</vt:lpstr>
      <vt:lpstr>First_payment_due</vt:lpstr>
      <vt:lpstr>'R -Loan (2)'!First_payment_no</vt:lpstr>
      <vt:lpstr>First_payment_no</vt:lpstr>
      <vt:lpstr>'R -Loan (2)'!Loan_amount</vt:lpstr>
      <vt:lpstr>Loan_amount</vt:lpstr>
      <vt:lpstr>'R -Loan (2)'!Payments_per_year</vt:lpstr>
      <vt:lpstr>Payments_per_year</vt:lpstr>
      <vt:lpstr>'R -Loan (2)'!Pmt_to_use</vt:lpstr>
      <vt:lpstr>Pmt_to_use</vt:lpstr>
      <vt:lpstr>'R -Loan (2)'!Table_beg_bal</vt:lpstr>
      <vt:lpstr>Table_beg_bal</vt:lpstr>
      <vt:lpstr>'R -Loan (2)'!Table_prior_interest</vt:lpstr>
      <vt:lpstr>Table_prior_interest</vt:lpstr>
      <vt:lpstr>'R -Loan (2)'!Term_in_years</vt:lpstr>
      <vt:lpstr>Term_in_years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hgb</cp:lastModifiedBy>
  <cp:revision/>
  <dcterms:created xsi:type="dcterms:W3CDTF">2017-11-16T02:13:51Z</dcterms:created>
  <dcterms:modified xsi:type="dcterms:W3CDTF">2020-06-24T19:58:54Z</dcterms:modified>
  <cp:category/>
  <cp:contentStatus/>
</cp:coreProperties>
</file>